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shaver\Desktop\tshaver\jimstuff\Salary Scales\2022-2023\"/>
    </mc:Choice>
  </mc:AlternateContent>
  <bookViews>
    <workbookView xWindow="0" yWindow="0" windowWidth="28800" windowHeight="11400" firstSheet="7" activeTab="7"/>
  </bookViews>
  <sheets>
    <sheet name="Admin Analysis" sheetId="10" state="hidden" r:id="rId1"/>
    <sheet name="Current Pay Plan (Hourly)" sheetId="15" state="hidden" r:id="rId2"/>
    <sheet name="Step Plans Reference" sheetId="14" state="hidden" r:id="rId3"/>
    <sheet name="Certified Analysis" sheetId="9" state="hidden" r:id="rId4"/>
    <sheet name="Classified Analysis" sheetId="11" state="hidden" r:id="rId5"/>
    <sheet name="Notes" sheetId="17" state="hidden" r:id="rId6"/>
    <sheet name="Market Results" sheetId="7" state="hidden" r:id="rId7"/>
    <sheet name="Proposed Salary Scales" sheetId="21" r:id="rId8"/>
  </sheets>
  <definedNames>
    <definedName name="_xlnm._FilterDatabase" localSheetId="3" hidden="1">'Certified Analysis'!$F$2:$H$8</definedName>
    <definedName name="_xlnm._FilterDatabase" localSheetId="4" hidden="1">'Classified Analysis'!$A$47:$K$110</definedName>
    <definedName name="_xlnm._FilterDatabase" localSheetId="1" hidden="1">'Current Pay Plan (Hourly)'!$B$18:$J$23</definedName>
    <definedName name="_xlnm._FilterDatabase" localSheetId="6" hidden="1">'Market Results'!$A$1:$I$51</definedName>
    <definedName name="_xlnm.Print_Area" localSheetId="7">'Proposed Salary Scales'!$A$68:$R$171</definedName>
  </definedNames>
  <calcPr calcId="162913"/>
  <pivotCaches>
    <pivotCache cacheId="0" r:id="rId9"/>
    <pivotCache cacheId="1" r:id="rId10"/>
    <pivotCache cacheId="2" r:id="rId1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R152" i="21" l="1"/>
  <c r="Q152" i="21"/>
  <c r="P152" i="21"/>
  <c r="O152" i="21"/>
  <c r="N152" i="21"/>
  <c r="M152" i="21"/>
  <c r="L152" i="21"/>
  <c r="K152" i="21"/>
  <c r="J152" i="21"/>
  <c r="I152" i="21"/>
  <c r="H152" i="21"/>
  <c r="G152" i="21"/>
  <c r="F152" i="21"/>
  <c r="E152" i="21"/>
  <c r="D152" i="21"/>
  <c r="C152" i="21"/>
  <c r="R103" i="21"/>
  <c r="Q103" i="21"/>
  <c r="P103" i="21"/>
  <c r="O103" i="21"/>
  <c r="N103" i="21"/>
  <c r="M103" i="21"/>
  <c r="L103" i="21"/>
  <c r="K103" i="21"/>
  <c r="J103" i="21"/>
  <c r="I103" i="21"/>
  <c r="H103" i="21"/>
  <c r="G103" i="21"/>
  <c r="F103" i="21"/>
  <c r="E103" i="21"/>
  <c r="D103" i="21"/>
  <c r="R153" i="21"/>
  <c r="Q153" i="21"/>
  <c r="P153" i="21"/>
  <c r="O153" i="21"/>
  <c r="N153" i="21"/>
  <c r="M153" i="21"/>
  <c r="L153" i="21"/>
  <c r="K153" i="21"/>
  <c r="J153" i="21"/>
  <c r="I153" i="21"/>
  <c r="H153" i="21"/>
  <c r="G153" i="21"/>
  <c r="F153" i="21"/>
  <c r="E153" i="21"/>
  <c r="D153" i="21"/>
  <c r="C153" i="21"/>
  <c r="R104" i="21"/>
  <c r="Q104" i="21"/>
  <c r="P104" i="21"/>
  <c r="O104" i="21"/>
  <c r="N104" i="21"/>
  <c r="M104" i="21"/>
  <c r="L104" i="21"/>
  <c r="K104" i="21"/>
  <c r="J104" i="21"/>
  <c r="I104" i="21"/>
  <c r="H104" i="21"/>
  <c r="G104" i="21"/>
  <c r="F104" i="21"/>
  <c r="E104" i="21"/>
  <c r="D104" i="21"/>
  <c r="R132" i="21"/>
  <c r="Q132" i="21"/>
  <c r="P132" i="21"/>
  <c r="O132" i="21"/>
  <c r="N132" i="21"/>
  <c r="M132" i="21"/>
  <c r="L132" i="21"/>
  <c r="K132" i="21"/>
  <c r="J132" i="21"/>
  <c r="I132" i="21"/>
  <c r="H132" i="21"/>
  <c r="G132" i="21"/>
  <c r="F132" i="21"/>
  <c r="E132" i="21"/>
  <c r="D132" i="21"/>
  <c r="C132" i="21"/>
  <c r="R83" i="21"/>
  <c r="Q83" i="21"/>
  <c r="P83" i="21"/>
  <c r="O83" i="21"/>
  <c r="N83" i="21"/>
  <c r="M83" i="21"/>
  <c r="L83" i="21"/>
  <c r="K83" i="21"/>
  <c r="J83" i="21"/>
  <c r="I83" i="21"/>
  <c r="H83" i="21"/>
  <c r="G83" i="21"/>
  <c r="F83" i="21"/>
  <c r="D83" i="21"/>
  <c r="E83" i="21"/>
  <c r="R148" i="21" l="1"/>
  <c r="Q148" i="21"/>
  <c r="P148" i="21"/>
  <c r="O148" i="21"/>
  <c r="N148" i="21"/>
  <c r="M148" i="21"/>
  <c r="L148" i="21"/>
  <c r="K148" i="21"/>
  <c r="J148" i="21"/>
  <c r="I148" i="21"/>
  <c r="H148" i="21"/>
  <c r="G148" i="21"/>
  <c r="F148" i="21"/>
  <c r="E148" i="21"/>
  <c r="D148" i="21"/>
  <c r="C148" i="21"/>
  <c r="R99" i="21"/>
  <c r="Q99" i="21"/>
  <c r="P99" i="21"/>
  <c r="O99" i="21"/>
  <c r="N99" i="21"/>
  <c r="M99" i="21"/>
  <c r="L99" i="21"/>
  <c r="K99" i="21"/>
  <c r="J99" i="21"/>
  <c r="I99" i="21"/>
  <c r="H99" i="21"/>
  <c r="G99" i="21"/>
  <c r="F99" i="21"/>
  <c r="E99" i="21"/>
  <c r="D99" i="21"/>
  <c r="H2" i="14" l="1"/>
  <c r="G3" i="14" s="1"/>
  <c r="H3" i="14" s="1"/>
  <c r="G4" i="14" s="1"/>
  <c r="H4" i="14" s="1"/>
  <c r="C2" i="14" l="1"/>
  <c r="G5" i="14" l="1"/>
  <c r="H5" i="14" s="1"/>
  <c r="C343" i="14" l="1"/>
  <c r="G6" i="14"/>
  <c r="H6" i="14" s="1"/>
  <c r="G7" i="14" l="1"/>
  <c r="H7" i="14" s="1"/>
  <c r="G8" i="14" l="1"/>
  <c r="H8" i="14" s="1"/>
  <c r="G9" i="14" l="1"/>
  <c r="H9" i="14" s="1"/>
  <c r="G10" i="14" l="1"/>
  <c r="H10" i="14" l="1"/>
  <c r="G11" i="14" l="1"/>
  <c r="H11" i="14" s="1"/>
  <c r="E23" i="15" l="1"/>
  <c r="E20" i="15"/>
  <c r="E6" i="15"/>
  <c r="E7" i="15"/>
  <c r="E8" i="15"/>
  <c r="E9" i="15"/>
  <c r="E10" i="15"/>
  <c r="E11" i="15"/>
  <c r="E12" i="15"/>
  <c r="E13" i="15"/>
  <c r="E14" i="15"/>
  <c r="E15" i="15"/>
  <c r="E5" i="15"/>
  <c r="F5" i="15"/>
  <c r="C281" i="14" l="1"/>
  <c r="I5" i="15"/>
  <c r="F28" i="15"/>
  <c r="F29" i="15"/>
  <c r="F30" i="15"/>
  <c r="F31" i="15"/>
  <c r="F32" i="15"/>
  <c r="F33" i="15"/>
  <c r="F34" i="15"/>
  <c r="F35" i="15"/>
  <c r="F36" i="15"/>
  <c r="F37" i="15"/>
  <c r="F38" i="15"/>
  <c r="F39" i="15"/>
  <c r="F40" i="15"/>
  <c r="F41" i="15"/>
  <c r="F42" i="15"/>
  <c r="F43" i="15"/>
  <c r="F44" i="15"/>
  <c r="F45" i="15"/>
  <c r="F46" i="15"/>
  <c r="F47" i="15"/>
  <c r="F48" i="15"/>
  <c r="F49" i="15"/>
  <c r="F50" i="15"/>
  <c r="F51" i="15"/>
  <c r="F52" i="15"/>
  <c r="F53" i="15"/>
  <c r="F54" i="15"/>
  <c r="F55" i="15"/>
  <c r="F56" i="15"/>
  <c r="F57" i="15"/>
  <c r="F58" i="15"/>
  <c r="F59" i="15"/>
  <c r="F60" i="15"/>
  <c r="F61" i="15"/>
  <c r="F62" i="15"/>
  <c r="F63" i="15"/>
  <c r="F21" i="15"/>
  <c r="G21" i="15" s="1"/>
  <c r="F22" i="15"/>
  <c r="G22" i="15" s="1"/>
  <c r="F20" i="15"/>
  <c r="G20" i="15" s="1"/>
  <c r="F23" i="15"/>
  <c r="G23" i="15" s="1"/>
  <c r="F19" i="15"/>
  <c r="G19" i="15" s="1"/>
  <c r="I19" i="15" s="1"/>
  <c r="F15" i="15"/>
  <c r="F6" i="15"/>
  <c r="F7" i="15"/>
  <c r="F9" i="15"/>
  <c r="F10" i="15"/>
  <c r="F11" i="15"/>
  <c r="F12" i="15"/>
  <c r="F13" i="15"/>
  <c r="F14" i="15"/>
  <c r="F27" i="15"/>
  <c r="J6" i="15"/>
  <c r="J7" i="15"/>
  <c r="J8" i="15"/>
  <c r="J9" i="15"/>
  <c r="J10" i="15"/>
  <c r="J11" i="15"/>
  <c r="J12" i="15"/>
  <c r="J13" i="15"/>
  <c r="J14" i="15"/>
  <c r="J15" i="15"/>
  <c r="J5" i="15"/>
  <c r="C282" i="14" l="1"/>
  <c r="C312" i="14"/>
  <c r="I22" i="15"/>
  <c r="J22" i="15"/>
  <c r="J21" i="15"/>
  <c r="I21" i="15"/>
  <c r="J23" i="15"/>
  <c r="I23" i="15"/>
  <c r="J20" i="15"/>
  <c r="I20" i="15"/>
  <c r="J19" i="15"/>
  <c r="C188" i="14" l="1"/>
  <c r="C283" i="14"/>
  <c r="C219" i="14"/>
  <c r="C284" i="14" l="1"/>
  <c r="C220" i="14"/>
  <c r="C285" i="14" l="1"/>
  <c r="C250" i="14"/>
  <c r="G12" i="14"/>
  <c r="H12" i="14" s="1"/>
  <c r="G13" i="14" s="1"/>
  <c r="H13" i="14" s="1"/>
  <c r="G14" i="14" s="1"/>
  <c r="H14" i="14" s="1"/>
  <c r="C126" i="14"/>
  <c r="C33" i="14"/>
  <c r="C95" i="14"/>
  <c r="C221" i="14"/>
  <c r="C157" i="14"/>
  <c r="C64" i="14"/>
  <c r="M71" i="11"/>
  <c r="M72" i="11"/>
  <c r="C374" i="14" l="1"/>
  <c r="C286" i="14"/>
  <c r="C222" i="14"/>
  <c r="C3" i="14"/>
  <c r="K6" i="15"/>
  <c r="K7" i="15"/>
  <c r="K8" i="15"/>
  <c r="K9" i="15"/>
  <c r="K10" i="15"/>
  <c r="K11" i="15"/>
  <c r="K12" i="15"/>
  <c r="K13" i="15"/>
  <c r="K14" i="15"/>
  <c r="K15" i="15"/>
  <c r="K5" i="15"/>
  <c r="C287" i="14" l="1"/>
  <c r="C4" i="14"/>
  <c r="C223" i="14"/>
  <c r="K20" i="15"/>
  <c r="K21" i="15"/>
  <c r="K22" i="15"/>
  <c r="K23" i="15"/>
  <c r="K19" i="15"/>
  <c r="C49" i="10"/>
  <c r="C50" i="10"/>
  <c r="C51" i="10"/>
  <c r="C52" i="10"/>
  <c r="C53" i="10"/>
  <c r="C54" i="10"/>
  <c r="C55" i="10"/>
  <c r="C56" i="10"/>
  <c r="C57" i="10"/>
  <c r="C48" i="10"/>
  <c r="C288" i="14" l="1"/>
  <c r="C224" i="14"/>
  <c r="C5" i="14"/>
  <c r="C58" i="10"/>
  <c r="C59" i="10" s="1"/>
  <c r="C289" i="14" l="1"/>
  <c r="C6" i="14"/>
  <c r="C225" i="14"/>
  <c r="G15" i="14"/>
  <c r="H15" i="14" s="1"/>
  <c r="G30" i="15"/>
  <c r="J30" i="15" s="1"/>
  <c r="G32" i="15"/>
  <c r="I32" i="15" s="1"/>
  <c r="G34" i="15"/>
  <c r="J34" i="15" s="1"/>
  <c r="G36" i="15"/>
  <c r="I36" i="15" s="1"/>
  <c r="G38" i="15"/>
  <c r="J38" i="15" s="1"/>
  <c r="G42" i="15"/>
  <c r="J42" i="15" s="1"/>
  <c r="G49" i="15"/>
  <c r="I49" i="15" s="1"/>
  <c r="G62" i="15"/>
  <c r="J62" i="15" s="1"/>
  <c r="E28" i="15"/>
  <c r="E29" i="15"/>
  <c r="E31" i="15"/>
  <c r="E33" i="15"/>
  <c r="E35" i="15"/>
  <c r="E37" i="15"/>
  <c r="E39" i="15"/>
  <c r="E40" i="15"/>
  <c r="E41" i="15"/>
  <c r="E43" i="15"/>
  <c r="E44" i="15"/>
  <c r="E45" i="15"/>
  <c r="E46" i="15"/>
  <c r="E47" i="15"/>
  <c r="E48" i="15"/>
  <c r="E50" i="15"/>
  <c r="E51" i="15"/>
  <c r="E52" i="15"/>
  <c r="E53" i="15"/>
  <c r="E54" i="15"/>
  <c r="E55" i="15"/>
  <c r="E56" i="15"/>
  <c r="E57" i="15"/>
  <c r="E58" i="15"/>
  <c r="E59" i="15"/>
  <c r="E60" i="15"/>
  <c r="E61" i="15"/>
  <c r="E63" i="15"/>
  <c r="E27" i="15"/>
  <c r="G27" i="15" s="1"/>
  <c r="C290" i="14" l="1"/>
  <c r="C226" i="14"/>
  <c r="C7" i="14"/>
  <c r="I62" i="15"/>
  <c r="K62" i="15" s="1"/>
  <c r="I34" i="15"/>
  <c r="K34" i="15" s="1"/>
  <c r="J27" i="15"/>
  <c r="I27" i="15"/>
  <c r="I30" i="15"/>
  <c r="K30" i="15" s="1"/>
  <c r="G51" i="15"/>
  <c r="J51" i="15" s="1"/>
  <c r="G46" i="15"/>
  <c r="J46" i="15" s="1"/>
  <c r="G28" i="15"/>
  <c r="I28" i="15" s="1"/>
  <c r="G59" i="15"/>
  <c r="I59" i="15" s="1"/>
  <c r="G55" i="15"/>
  <c r="I55" i="15" s="1"/>
  <c r="G44" i="15"/>
  <c r="I44" i="15" s="1"/>
  <c r="G31" i="15"/>
  <c r="J31" i="15" s="1"/>
  <c r="G61" i="15"/>
  <c r="I61" i="15" s="1"/>
  <c r="G57" i="15"/>
  <c r="J57" i="15" s="1"/>
  <c r="G53" i="15"/>
  <c r="J53" i="15" s="1"/>
  <c r="G48" i="15"/>
  <c r="I48" i="15" s="1"/>
  <c r="G39" i="15"/>
  <c r="J39" i="15" s="1"/>
  <c r="G60" i="15"/>
  <c r="I60" i="15" s="1"/>
  <c r="G56" i="15"/>
  <c r="I56" i="15" s="1"/>
  <c r="G52" i="15"/>
  <c r="J52" i="15" s="1"/>
  <c r="G47" i="15"/>
  <c r="J47" i="15" s="1"/>
  <c r="G43" i="15"/>
  <c r="J43" i="15" s="1"/>
  <c r="G37" i="15"/>
  <c r="J37" i="15" s="1"/>
  <c r="G29" i="15"/>
  <c r="I29" i="15" s="1"/>
  <c r="I42" i="15"/>
  <c r="K42" i="15" s="1"/>
  <c r="G41" i="15"/>
  <c r="J41" i="15" s="1"/>
  <c r="G35" i="15"/>
  <c r="I35" i="15" s="1"/>
  <c r="I38" i="15"/>
  <c r="K38" i="15" s="1"/>
  <c r="G63" i="15"/>
  <c r="J63" i="15" s="1"/>
  <c r="G58" i="15"/>
  <c r="J58" i="15" s="1"/>
  <c r="G54" i="15"/>
  <c r="I54" i="15" s="1"/>
  <c r="G50" i="15"/>
  <c r="I50" i="15" s="1"/>
  <c r="G45" i="15"/>
  <c r="I45" i="15" s="1"/>
  <c r="G40" i="15"/>
  <c r="J40" i="15" s="1"/>
  <c r="G33" i="15"/>
  <c r="I33" i="15" s="1"/>
  <c r="J49" i="15"/>
  <c r="K49" i="15" s="1"/>
  <c r="J36" i="15"/>
  <c r="K36" i="15" s="1"/>
  <c r="J32" i="15"/>
  <c r="K32" i="15" s="1"/>
  <c r="C291" i="14" l="1"/>
  <c r="C8" i="14"/>
  <c r="C227" i="14"/>
  <c r="J59" i="15"/>
  <c r="K59" i="15" s="1"/>
  <c r="I37" i="15"/>
  <c r="I58" i="15"/>
  <c r="I51" i="15"/>
  <c r="K51" i="15" s="1"/>
  <c r="J55" i="15"/>
  <c r="K55" i="15" s="1"/>
  <c r="I40" i="15"/>
  <c r="K40" i="15" s="1"/>
  <c r="I47" i="15"/>
  <c r="K47" i="15" s="1"/>
  <c r="I39" i="15"/>
  <c r="K39" i="15" s="1"/>
  <c r="J33" i="15"/>
  <c r="K33" i="15" s="1"/>
  <c r="J50" i="15"/>
  <c r="K50" i="15" s="1"/>
  <c r="J44" i="15"/>
  <c r="K44" i="15" s="1"/>
  <c r="I46" i="15"/>
  <c r="K46" i="15" s="1"/>
  <c r="I31" i="15"/>
  <c r="K31" i="15" s="1"/>
  <c r="J35" i="15"/>
  <c r="K35" i="15" s="1"/>
  <c r="I53" i="15"/>
  <c r="I41" i="15"/>
  <c r="K41" i="15" s="1"/>
  <c r="I57" i="15"/>
  <c r="K57" i="15" s="1"/>
  <c r="J28" i="15"/>
  <c r="J45" i="15"/>
  <c r="K45" i="15" s="1"/>
  <c r="J56" i="15"/>
  <c r="K56" i="15" s="1"/>
  <c r="I52" i="15"/>
  <c r="K27" i="15"/>
  <c r="J29" i="15"/>
  <c r="K29" i="15" s="1"/>
  <c r="J61" i="15"/>
  <c r="K61" i="15" s="1"/>
  <c r="J54" i="15"/>
  <c r="K54" i="15" s="1"/>
  <c r="I63" i="15"/>
  <c r="K63" i="15" s="1"/>
  <c r="J60" i="15"/>
  <c r="K60" i="15" s="1"/>
  <c r="J48" i="15"/>
  <c r="K48" i="15" s="1"/>
  <c r="I43" i="15"/>
  <c r="K43" i="15" s="1"/>
  <c r="C292" i="14" l="1"/>
  <c r="K37" i="15"/>
  <c r="C228" i="14"/>
  <c r="C9" i="14"/>
  <c r="K58" i="15"/>
  <c r="K28" i="15"/>
  <c r="C251" i="14"/>
  <c r="C252" i="14"/>
  <c r="K52" i="15"/>
  <c r="K53" i="15"/>
  <c r="C293" i="14" l="1"/>
  <c r="C405" i="14"/>
  <c r="C10" i="14"/>
  <c r="C229" i="14"/>
  <c r="C253" i="14"/>
  <c r="C294" i="14" l="1"/>
  <c r="C436" i="14"/>
  <c r="C230" i="14"/>
  <c r="C11" i="14"/>
  <c r="C254" i="14"/>
  <c r="G16" i="14"/>
  <c r="H16" i="14" s="1"/>
  <c r="C295" i="14" l="1"/>
  <c r="C12" i="14"/>
  <c r="C231" i="14"/>
  <c r="C255" i="14"/>
  <c r="C296" i="14" l="1"/>
  <c r="C232" i="14"/>
  <c r="C13" i="14"/>
  <c r="C256" i="14"/>
  <c r="G17" i="14"/>
  <c r="H17" i="14" s="1"/>
  <c r="C297" i="14" l="1"/>
  <c r="C14" i="14"/>
  <c r="C233" i="14"/>
  <c r="C257" i="14"/>
  <c r="G18" i="14"/>
  <c r="H18" i="14" s="1"/>
  <c r="C298" i="14" l="1"/>
  <c r="C234" i="14"/>
  <c r="C15" i="14"/>
  <c r="C258" i="14"/>
  <c r="G19" i="14"/>
  <c r="H19" i="14" s="1"/>
  <c r="C299" i="14" l="1"/>
  <c r="C16" i="14"/>
  <c r="C235" i="14"/>
  <c r="G20" i="14"/>
  <c r="H20" i="14" s="1"/>
  <c r="C259" i="14"/>
  <c r="C300" i="14" l="1"/>
  <c r="C236" i="14"/>
  <c r="C17" i="14"/>
  <c r="G21" i="14"/>
  <c r="H21" i="14" s="1"/>
  <c r="C260" i="14"/>
  <c r="C301" i="14" l="1"/>
  <c r="C18" i="14"/>
  <c r="C237" i="14"/>
  <c r="G22" i="14"/>
  <c r="H22" i="14" s="1"/>
  <c r="C261" i="14"/>
  <c r="C302" i="14" l="1"/>
  <c r="C238" i="14"/>
  <c r="C19" i="14"/>
  <c r="G23" i="14"/>
  <c r="H23" i="14" s="1"/>
  <c r="C262" i="14"/>
  <c r="C303" i="14" l="1"/>
  <c r="C20" i="14"/>
  <c r="C239" i="14"/>
  <c r="G24" i="14"/>
  <c r="H24" i="14" s="1"/>
  <c r="C263" i="14"/>
  <c r="C304" i="14" l="1"/>
  <c r="C240" i="14"/>
  <c r="C21" i="14"/>
  <c r="C264" i="14"/>
  <c r="C305" i="14" l="1"/>
  <c r="G25" i="14"/>
  <c r="H25" i="14" s="1"/>
  <c r="C22" i="14"/>
  <c r="C241" i="14"/>
  <c r="C265" i="14"/>
  <c r="C306" i="14" l="1"/>
  <c r="G26" i="14"/>
  <c r="H26" i="14" s="1"/>
  <c r="C242" i="14"/>
  <c r="C23" i="14"/>
  <c r="C266" i="14"/>
  <c r="AA145" i="9"/>
  <c r="Z144" i="9"/>
  <c r="AA144" i="9"/>
  <c r="AB144" i="9"/>
  <c r="AC144" i="9"/>
  <c r="AD144" i="9"/>
  <c r="AD149" i="9" s="1"/>
  <c r="AE144" i="9"/>
  <c r="AF144" i="9"/>
  <c r="AG144" i="9"/>
  <c r="AH144" i="9"/>
  <c r="AI144" i="9"/>
  <c r="Z146" i="9"/>
  <c r="AA146" i="9"/>
  <c r="AB146" i="9"/>
  <c r="AC146" i="9"/>
  <c r="AD146" i="9"/>
  <c r="AE146" i="9"/>
  <c r="AF146" i="9"/>
  <c r="Z145" i="9"/>
  <c r="C144" i="9"/>
  <c r="D144" i="9"/>
  <c r="E144" i="9"/>
  <c r="F144" i="9"/>
  <c r="G144" i="9"/>
  <c r="H144" i="9"/>
  <c r="I144" i="9"/>
  <c r="J144" i="9"/>
  <c r="K144" i="9"/>
  <c r="L144" i="9"/>
  <c r="M144" i="9"/>
  <c r="N144" i="9"/>
  <c r="O144" i="9"/>
  <c r="P144" i="9"/>
  <c r="Q144" i="9"/>
  <c r="R144" i="9"/>
  <c r="S144" i="9"/>
  <c r="T144" i="9"/>
  <c r="U144" i="9"/>
  <c r="V144" i="9"/>
  <c r="W144" i="9"/>
  <c r="X144" i="9"/>
  <c r="Y144" i="9"/>
  <c r="C145" i="9"/>
  <c r="D145" i="9"/>
  <c r="E145" i="9"/>
  <c r="F145" i="9"/>
  <c r="G145" i="9"/>
  <c r="H145" i="9"/>
  <c r="I145" i="9"/>
  <c r="J145" i="9"/>
  <c r="K145" i="9"/>
  <c r="L145" i="9"/>
  <c r="M145" i="9"/>
  <c r="N145" i="9"/>
  <c r="O145" i="9"/>
  <c r="P145" i="9"/>
  <c r="Q145" i="9"/>
  <c r="R145" i="9"/>
  <c r="S145" i="9"/>
  <c r="T145" i="9"/>
  <c r="U145" i="9"/>
  <c r="V145" i="9"/>
  <c r="W145" i="9"/>
  <c r="X145" i="9"/>
  <c r="Y145" i="9"/>
  <c r="C146" i="9"/>
  <c r="D146" i="9"/>
  <c r="E146" i="9"/>
  <c r="F146" i="9"/>
  <c r="G146" i="9"/>
  <c r="H146" i="9"/>
  <c r="I146" i="9"/>
  <c r="J146" i="9"/>
  <c r="K146" i="9"/>
  <c r="L146" i="9"/>
  <c r="M146" i="9"/>
  <c r="N146" i="9"/>
  <c r="O146" i="9"/>
  <c r="P146" i="9"/>
  <c r="Q146" i="9"/>
  <c r="R146" i="9"/>
  <c r="S146" i="9"/>
  <c r="T146" i="9"/>
  <c r="U146" i="9"/>
  <c r="V146" i="9"/>
  <c r="W146" i="9"/>
  <c r="X146" i="9"/>
  <c r="Y146" i="9"/>
  <c r="B145" i="9"/>
  <c r="B146" i="9"/>
  <c r="B144" i="9"/>
  <c r="AC122" i="11"/>
  <c r="AD122" i="11"/>
  <c r="AE122" i="11"/>
  <c r="AF122" i="11"/>
  <c r="AB122" i="11"/>
  <c r="AC125" i="11"/>
  <c r="AD125" i="11"/>
  <c r="AE125" i="11"/>
  <c r="AC124" i="11"/>
  <c r="AD124" i="11"/>
  <c r="AE124" i="11"/>
  <c r="AF124" i="11"/>
  <c r="AC120" i="11"/>
  <c r="AD120" i="11"/>
  <c r="AE120" i="11"/>
  <c r="AC121" i="11"/>
  <c r="AD121" i="11"/>
  <c r="AE121" i="11"/>
  <c r="AF121" i="11"/>
  <c r="AG121" i="11"/>
  <c r="AH121" i="11"/>
  <c r="AI121" i="11"/>
  <c r="AJ121" i="11"/>
  <c r="AK121" i="11"/>
  <c r="AI119" i="11"/>
  <c r="AJ119" i="11"/>
  <c r="AK119" i="11"/>
  <c r="AC119" i="11"/>
  <c r="AD119" i="11"/>
  <c r="AE119" i="11"/>
  <c r="AF119" i="11"/>
  <c r="AG119" i="11"/>
  <c r="AH119" i="11"/>
  <c r="AC118" i="11"/>
  <c r="AD118" i="11"/>
  <c r="AE118" i="11"/>
  <c r="AF118" i="11"/>
  <c r="AC117" i="11"/>
  <c r="AD117" i="11"/>
  <c r="AE117" i="11"/>
  <c r="AF117" i="11"/>
  <c r="AC116" i="11"/>
  <c r="AD116" i="11"/>
  <c r="AE116" i="11"/>
  <c r="AF116" i="11"/>
  <c r="AG116" i="11"/>
  <c r="AH116" i="11"/>
  <c r="AI116" i="11"/>
  <c r="AJ116" i="11"/>
  <c r="AK116" i="11"/>
  <c r="AL116" i="11"/>
  <c r="C115" i="11"/>
  <c r="D115" i="11"/>
  <c r="E115" i="11"/>
  <c r="F115" i="11"/>
  <c r="G115" i="11"/>
  <c r="H115" i="11"/>
  <c r="I115" i="11"/>
  <c r="J115" i="11"/>
  <c r="K115" i="11"/>
  <c r="L115" i="11"/>
  <c r="M115" i="11"/>
  <c r="N115" i="11"/>
  <c r="O115" i="11"/>
  <c r="P115" i="11"/>
  <c r="Q115" i="11"/>
  <c r="R115" i="11"/>
  <c r="S115" i="11"/>
  <c r="T115" i="11"/>
  <c r="U115" i="11"/>
  <c r="V115" i="11"/>
  <c r="W115" i="11"/>
  <c r="X115" i="11"/>
  <c r="Y115" i="11"/>
  <c r="Z115" i="11"/>
  <c r="AA115" i="11"/>
  <c r="C116" i="11"/>
  <c r="D116" i="11"/>
  <c r="E116" i="11"/>
  <c r="F116" i="11"/>
  <c r="G116" i="11"/>
  <c r="H116" i="11"/>
  <c r="I116" i="11"/>
  <c r="J116" i="11"/>
  <c r="K116" i="11"/>
  <c r="L116" i="11"/>
  <c r="M116" i="11"/>
  <c r="N116" i="11"/>
  <c r="O116" i="11"/>
  <c r="P116" i="11"/>
  <c r="Q116" i="11"/>
  <c r="R116" i="11"/>
  <c r="S116" i="11"/>
  <c r="T116" i="11"/>
  <c r="U116" i="11"/>
  <c r="V116" i="11"/>
  <c r="W116" i="11"/>
  <c r="X116" i="11"/>
  <c r="Y116" i="11"/>
  <c r="Z116" i="11"/>
  <c r="AA116" i="11"/>
  <c r="AB116" i="11"/>
  <c r="C117" i="11"/>
  <c r="D117" i="11"/>
  <c r="E117" i="11"/>
  <c r="F117" i="11"/>
  <c r="G117" i="11"/>
  <c r="H117" i="11"/>
  <c r="I117" i="11"/>
  <c r="J117" i="11"/>
  <c r="K117" i="11"/>
  <c r="L117" i="11"/>
  <c r="M117" i="11"/>
  <c r="N117" i="11"/>
  <c r="O117" i="11"/>
  <c r="P117" i="11"/>
  <c r="Q117" i="11"/>
  <c r="R117" i="11"/>
  <c r="S117" i="11"/>
  <c r="T117" i="11"/>
  <c r="U117" i="11"/>
  <c r="V117" i="11"/>
  <c r="W117" i="11"/>
  <c r="X117" i="11"/>
  <c r="Y117" i="11"/>
  <c r="Z117" i="11"/>
  <c r="AA117" i="11"/>
  <c r="AB117" i="11"/>
  <c r="C118" i="11"/>
  <c r="D118" i="11"/>
  <c r="E118" i="11"/>
  <c r="F118" i="11"/>
  <c r="G118" i="11"/>
  <c r="H118" i="11"/>
  <c r="I118" i="11"/>
  <c r="J118" i="11"/>
  <c r="K118" i="11"/>
  <c r="L118" i="11"/>
  <c r="M118" i="11"/>
  <c r="N118" i="11"/>
  <c r="O118" i="11"/>
  <c r="P118" i="11"/>
  <c r="Q118" i="11"/>
  <c r="R118" i="11"/>
  <c r="S118" i="11"/>
  <c r="T118" i="11"/>
  <c r="U118" i="11"/>
  <c r="V118" i="11"/>
  <c r="W118" i="11"/>
  <c r="X118" i="11"/>
  <c r="Y118" i="11"/>
  <c r="Z118" i="11"/>
  <c r="AA118" i="11"/>
  <c r="AB118" i="11"/>
  <c r="C119" i="11"/>
  <c r="D119" i="11"/>
  <c r="E119" i="11"/>
  <c r="F119" i="11"/>
  <c r="G119" i="11"/>
  <c r="H119" i="11"/>
  <c r="I119" i="11"/>
  <c r="J119" i="11"/>
  <c r="K119" i="11"/>
  <c r="L119" i="11"/>
  <c r="M119" i="11"/>
  <c r="N119" i="11"/>
  <c r="O119" i="11"/>
  <c r="P119" i="11"/>
  <c r="Q119" i="11"/>
  <c r="R119" i="11"/>
  <c r="S119" i="11"/>
  <c r="T119" i="11"/>
  <c r="U119" i="11"/>
  <c r="V119" i="11"/>
  <c r="W119" i="11"/>
  <c r="X119" i="11"/>
  <c r="Y119" i="11"/>
  <c r="Z119" i="11"/>
  <c r="AA119" i="11"/>
  <c r="AB119" i="11"/>
  <c r="C120" i="11"/>
  <c r="D120" i="11"/>
  <c r="E120" i="11"/>
  <c r="F120" i="11"/>
  <c r="G120" i="11"/>
  <c r="H120" i="11"/>
  <c r="I120" i="11"/>
  <c r="J120" i="11"/>
  <c r="K120" i="11"/>
  <c r="L120" i="11"/>
  <c r="M120" i="11"/>
  <c r="N120" i="11"/>
  <c r="O120" i="11"/>
  <c r="P120" i="11"/>
  <c r="Q120" i="11"/>
  <c r="R120" i="11"/>
  <c r="S120" i="11"/>
  <c r="T120" i="11"/>
  <c r="U120" i="11"/>
  <c r="V120" i="11"/>
  <c r="W120" i="11"/>
  <c r="X120" i="11"/>
  <c r="Y120" i="11"/>
  <c r="Z120" i="11"/>
  <c r="AA120" i="11"/>
  <c r="AB120" i="11"/>
  <c r="C121" i="11"/>
  <c r="D121" i="11"/>
  <c r="E121" i="11"/>
  <c r="F121" i="11"/>
  <c r="G121" i="11"/>
  <c r="H121" i="11"/>
  <c r="I121" i="11"/>
  <c r="J121" i="11"/>
  <c r="K121" i="11"/>
  <c r="L121" i="11"/>
  <c r="M121" i="11"/>
  <c r="N121" i="11"/>
  <c r="O121" i="11"/>
  <c r="P121" i="11"/>
  <c r="Q121" i="11"/>
  <c r="R121" i="11"/>
  <c r="S121" i="11"/>
  <c r="T121" i="11"/>
  <c r="U121" i="11"/>
  <c r="V121" i="11"/>
  <c r="W121" i="11"/>
  <c r="X121" i="11"/>
  <c r="Y121" i="11"/>
  <c r="Z121" i="11"/>
  <c r="AA121" i="11"/>
  <c r="AB121" i="11"/>
  <c r="C122" i="11"/>
  <c r="D122" i="11"/>
  <c r="E122" i="11"/>
  <c r="F122" i="11"/>
  <c r="G122" i="11"/>
  <c r="H122" i="11"/>
  <c r="I122" i="11"/>
  <c r="J122" i="11"/>
  <c r="K122" i="11"/>
  <c r="L122" i="11"/>
  <c r="M122" i="11"/>
  <c r="N122" i="11"/>
  <c r="O122" i="11"/>
  <c r="P122" i="11"/>
  <c r="Q122" i="11"/>
  <c r="R122" i="11"/>
  <c r="S122" i="11"/>
  <c r="T122" i="11"/>
  <c r="U122" i="11"/>
  <c r="V122" i="11"/>
  <c r="W122" i="11"/>
  <c r="X122" i="11"/>
  <c r="Y122" i="11"/>
  <c r="Z122" i="11"/>
  <c r="AA122" i="11"/>
  <c r="C123" i="11"/>
  <c r="D123" i="11"/>
  <c r="E123" i="11"/>
  <c r="F123" i="11"/>
  <c r="G123" i="11"/>
  <c r="H123" i="11"/>
  <c r="I123" i="11"/>
  <c r="J123" i="11"/>
  <c r="K123" i="11"/>
  <c r="L123" i="11"/>
  <c r="M123" i="11"/>
  <c r="N123" i="11"/>
  <c r="O123" i="11"/>
  <c r="P123" i="11"/>
  <c r="Q123" i="11"/>
  <c r="R123" i="11"/>
  <c r="S123" i="11"/>
  <c r="T123" i="11"/>
  <c r="U123" i="11"/>
  <c r="V123" i="11"/>
  <c r="W123" i="11"/>
  <c r="X123" i="11"/>
  <c r="Y123" i="11"/>
  <c r="Z123" i="11"/>
  <c r="AA123" i="11"/>
  <c r="AB123" i="11"/>
  <c r="C124" i="11"/>
  <c r="D124" i="11"/>
  <c r="E124" i="11"/>
  <c r="F124" i="11"/>
  <c r="G124" i="11"/>
  <c r="H124" i="11"/>
  <c r="I124" i="11"/>
  <c r="J124" i="11"/>
  <c r="K124" i="11"/>
  <c r="L124" i="11"/>
  <c r="M124" i="11"/>
  <c r="N124" i="11"/>
  <c r="O124" i="11"/>
  <c r="P124" i="11"/>
  <c r="Q124" i="11"/>
  <c r="R124" i="11"/>
  <c r="S124" i="11"/>
  <c r="T124" i="11"/>
  <c r="U124" i="11"/>
  <c r="V124" i="11"/>
  <c r="W124" i="11"/>
  <c r="X124" i="11"/>
  <c r="Y124" i="11"/>
  <c r="Z124" i="11"/>
  <c r="AA124" i="11"/>
  <c r="AB124" i="11"/>
  <c r="C125" i="11"/>
  <c r="D125" i="11"/>
  <c r="E125" i="11"/>
  <c r="F125" i="11"/>
  <c r="G125" i="11"/>
  <c r="H125" i="11"/>
  <c r="I125" i="11"/>
  <c r="J125" i="11"/>
  <c r="K125" i="11"/>
  <c r="L125" i="11"/>
  <c r="M125" i="11"/>
  <c r="N125" i="11"/>
  <c r="O125" i="11"/>
  <c r="P125" i="11"/>
  <c r="Q125" i="11"/>
  <c r="R125" i="11"/>
  <c r="S125" i="11"/>
  <c r="T125" i="11"/>
  <c r="U125" i="11"/>
  <c r="V125" i="11"/>
  <c r="W125" i="11"/>
  <c r="X125" i="11"/>
  <c r="Y125" i="11"/>
  <c r="Z125" i="11"/>
  <c r="AA125" i="11"/>
  <c r="AB125" i="11"/>
  <c r="B116" i="11"/>
  <c r="B117" i="11"/>
  <c r="B118" i="11"/>
  <c r="B119" i="11"/>
  <c r="B120" i="11"/>
  <c r="B121" i="11"/>
  <c r="B122" i="11"/>
  <c r="B123" i="11"/>
  <c r="B124" i="11"/>
  <c r="B125" i="11"/>
  <c r="B115" i="11"/>
  <c r="E52" i="11"/>
  <c r="E97" i="11"/>
  <c r="C67" i="11"/>
  <c r="O67" i="11" s="1"/>
  <c r="M48" i="11"/>
  <c r="H143" i="11"/>
  <c r="H144" i="11"/>
  <c r="H145" i="11"/>
  <c r="H146" i="11"/>
  <c r="H147" i="11"/>
  <c r="H148" i="11"/>
  <c r="H149" i="11"/>
  <c r="H150" i="11"/>
  <c r="H151" i="11"/>
  <c r="H152" i="11"/>
  <c r="H153" i="11"/>
  <c r="H154" i="11"/>
  <c r="H155" i="11"/>
  <c r="H156" i="11"/>
  <c r="H157" i="11"/>
  <c r="H158" i="11"/>
  <c r="H159" i="11"/>
  <c r="H160" i="11"/>
  <c r="H161" i="11"/>
  <c r="H162" i="11"/>
  <c r="H163" i="11"/>
  <c r="H164" i="11"/>
  <c r="H165" i="11"/>
  <c r="H166" i="11"/>
  <c r="H167" i="11"/>
  <c r="H168" i="11"/>
  <c r="H169" i="11"/>
  <c r="H170" i="11"/>
  <c r="H171" i="11"/>
  <c r="H172" i="11"/>
  <c r="H173" i="11"/>
  <c r="H174" i="11"/>
  <c r="H175" i="11"/>
  <c r="H176" i="11"/>
  <c r="H177" i="11"/>
  <c r="H178" i="11"/>
  <c r="H179" i="11"/>
  <c r="H180" i="11"/>
  <c r="H181" i="11"/>
  <c r="H182" i="11"/>
  <c r="H183" i="11"/>
  <c r="H184" i="11"/>
  <c r="H185" i="11"/>
  <c r="H186" i="11"/>
  <c r="H187" i="11"/>
  <c r="H188" i="11"/>
  <c r="H189" i="11"/>
  <c r="H190" i="11"/>
  <c r="H191" i="11"/>
  <c r="H192" i="11"/>
  <c r="H193" i="11"/>
  <c r="H194" i="11"/>
  <c r="H195" i="11"/>
  <c r="H196" i="11"/>
  <c r="H197" i="11"/>
  <c r="H198" i="11"/>
  <c r="H199" i="11"/>
  <c r="H200" i="11"/>
  <c r="H201" i="11"/>
  <c r="H202" i="11"/>
  <c r="H203" i="11"/>
  <c r="H142" i="11"/>
  <c r="C144" i="11"/>
  <c r="C145" i="11"/>
  <c r="C146" i="11"/>
  <c r="C147" i="11"/>
  <c r="C148" i="11"/>
  <c r="C149" i="11"/>
  <c r="C150" i="11"/>
  <c r="C151" i="11"/>
  <c r="C152" i="11"/>
  <c r="C153" i="11"/>
  <c r="C154" i="11"/>
  <c r="C155" i="11"/>
  <c r="C156" i="11"/>
  <c r="C157" i="11"/>
  <c r="C158" i="11"/>
  <c r="C143" i="11"/>
  <c r="G38" i="10"/>
  <c r="G39" i="10"/>
  <c r="G40" i="10"/>
  <c r="G41" i="10"/>
  <c r="G42" i="10"/>
  <c r="G37" i="10"/>
  <c r="D38" i="10"/>
  <c r="D39" i="10"/>
  <c r="D40" i="10"/>
  <c r="D41" i="10"/>
  <c r="D42" i="10"/>
  <c r="D37" i="10"/>
  <c r="H37" i="10"/>
  <c r="H38" i="10"/>
  <c r="H39" i="10"/>
  <c r="H40" i="10"/>
  <c r="I40" i="10" s="1"/>
  <c r="H41" i="10"/>
  <c r="I41" i="10" s="1"/>
  <c r="H42" i="10"/>
  <c r="I42" i="10" s="1"/>
  <c r="E35" i="10"/>
  <c r="E36" i="10"/>
  <c r="E37" i="10"/>
  <c r="E38" i="10"/>
  <c r="F38" i="10" s="1"/>
  <c r="E39" i="10"/>
  <c r="E40" i="10"/>
  <c r="E41" i="10"/>
  <c r="F41" i="10" s="1"/>
  <c r="E42" i="10"/>
  <c r="E43" i="10"/>
  <c r="C53" i="11"/>
  <c r="O53" i="11" s="1"/>
  <c r="H33" i="10"/>
  <c r="H69" i="11"/>
  <c r="H70" i="11"/>
  <c r="H71" i="11"/>
  <c r="H72" i="11"/>
  <c r="H73" i="11"/>
  <c r="H90" i="11"/>
  <c r="H68" i="11"/>
  <c r="E90" i="11"/>
  <c r="E70" i="11"/>
  <c r="E71" i="11"/>
  <c r="E72" i="11"/>
  <c r="E73" i="11"/>
  <c r="M61" i="11"/>
  <c r="M62" i="11"/>
  <c r="M63" i="11"/>
  <c r="M65" i="11"/>
  <c r="M80" i="11"/>
  <c r="M82" i="11"/>
  <c r="M86" i="11"/>
  <c r="M88" i="11"/>
  <c r="M92" i="11"/>
  <c r="M96" i="11"/>
  <c r="M101" i="11"/>
  <c r="L102" i="11"/>
  <c r="F39" i="10" l="1"/>
  <c r="AH149" i="9"/>
  <c r="F40" i="10"/>
  <c r="F42" i="10"/>
  <c r="K37" i="10"/>
  <c r="H204" i="11"/>
  <c r="I38" i="10"/>
  <c r="I39" i="10"/>
  <c r="AB149" i="9"/>
  <c r="C307" i="14"/>
  <c r="G27" i="14"/>
  <c r="C24" i="14"/>
  <c r="C243" i="14"/>
  <c r="C267" i="14"/>
  <c r="AA149" i="9"/>
  <c r="AG149" i="9"/>
  <c r="AC149" i="9"/>
  <c r="C149" i="9"/>
  <c r="AF149" i="9"/>
  <c r="AE149" i="9"/>
  <c r="L108" i="11"/>
  <c r="L107" i="11"/>
  <c r="L106" i="11"/>
  <c r="L105" i="11"/>
  <c r="C159" i="11"/>
  <c r="I37" i="10"/>
  <c r="F37" i="10"/>
  <c r="M110" i="11"/>
  <c r="L104" i="11"/>
  <c r="L103" i="11"/>
  <c r="L109" i="11"/>
  <c r="I9" i="9"/>
  <c r="I4" i="9"/>
  <c r="I5" i="9"/>
  <c r="I6" i="9"/>
  <c r="I7" i="9"/>
  <c r="I8" i="9"/>
  <c r="I3" i="9"/>
  <c r="I9" i="10"/>
  <c r="I10" i="10"/>
  <c r="I11" i="10"/>
  <c r="I12" i="10"/>
  <c r="I13" i="10"/>
  <c r="I14" i="10"/>
  <c r="I8" i="10"/>
  <c r="G8" i="10"/>
  <c r="H8" i="10" s="1"/>
  <c r="G5" i="10"/>
  <c r="G6" i="10"/>
  <c r="G7" i="10"/>
  <c r="G9" i="10"/>
  <c r="H9" i="10" s="1"/>
  <c r="G10" i="10"/>
  <c r="H10" i="10" s="1"/>
  <c r="G11" i="10"/>
  <c r="H11" i="10" s="1"/>
  <c r="G12" i="10"/>
  <c r="H12" i="10" s="1"/>
  <c r="G13" i="10"/>
  <c r="G14" i="10"/>
  <c r="G4" i="10"/>
  <c r="E18" i="10"/>
  <c r="J10" i="10"/>
  <c r="J11" i="10"/>
  <c r="J12" i="10"/>
  <c r="J9" i="10"/>
  <c r="J13" i="10"/>
  <c r="J8" i="10"/>
  <c r="C467" i="14" l="1"/>
  <c r="C308" i="14"/>
  <c r="H27" i="14"/>
  <c r="C244" i="14"/>
  <c r="C25" i="14"/>
  <c r="C375" i="14"/>
  <c r="C268" i="14"/>
  <c r="H13" i="10"/>
  <c r="H14" i="10" s="1"/>
  <c r="C309" i="14" l="1"/>
  <c r="G28" i="14"/>
  <c r="C26" i="14"/>
  <c r="C245" i="14"/>
  <c r="C406" i="14"/>
  <c r="C376" i="14"/>
  <c r="C269" i="14"/>
  <c r="J14" i="10"/>
  <c r="C129" i="11"/>
  <c r="I98" i="11"/>
  <c r="I97" i="11"/>
  <c r="I100" i="11"/>
  <c r="I95" i="11"/>
  <c r="I103" i="11"/>
  <c r="I92" i="11"/>
  <c r="I102" i="11"/>
  <c r="I96" i="11"/>
  <c r="I99" i="11"/>
  <c r="I94" i="11"/>
  <c r="I91" i="11"/>
  <c r="I93" i="11"/>
  <c r="I101" i="11"/>
  <c r="I80" i="11"/>
  <c r="I104" i="11"/>
  <c r="I52" i="11"/>
  <c r="I82" i="11"/>
  <c r="I83" i="11"/>
  <c r="I86" i="11"/>
  <c r="I85" i="11"/>
  <c r="I84" i="11"/>
  <c r="I109" i="11"/>
  <c r="I54" i="11"/>
  <c r="I81" i="11"/>
  <c r="I48" i="11"/>
  <c r="I49" i="11"/>
  <c r="I63" i="11"/>
  <c r="I76" i="11"/>
  <c r="I89" i="11"/>
  <c r="I87" i="11"/>
  <c r="I88" i="11"/>
  <c r="I51" i="11"/>
  <c r="I67" i="11"/>
  <c r="I50" i="11"/>
  <c r="I64" i="11"/>
  <c r="I65" i="11"/>
  <c r="I66" i="11"/>
  <c r="I62" i="11"/>
  <c r="I77" i="11"/>
  <c r="I58" i="11"/>
  <c r="I56" i="11"/>
  <c r="I57" i="11"/>
  <c r="I59" i="11"/>
  <c r="I60" i="11"/>
  <c r="I61" i="11"/>
  <c r="I74" i="11"/>
  <c r="I75" i="11"/>
  <c r="I55" i="11"/>
  <c r="I105" i="11"/>
  <c r="I106" i="11"/>
  <c r="I107" i="11"/>
  <c r="I108" i="11"/>
  <c r="I78" i="11"/>
  <c r="I70" i="11"/>
  <c r="I68" i="11"/>
  <c r="I69" i="11"/>
  <c r="I71" i="11"/>
  <c r="I72" i="11"/>
  <c r="I90" i="11"/>
  <c r="I73" i="11"/>
  <c r="I79" i="11"/>
  <c r="E79" i="11"/>
  <c r="E98" i="11"/>
  <c r="E100" i="11"/>
  <c r="E95" i="11"/>
  <c r="E103" i="11"/>
  <c r="E92" i="11"/>
  <c r="E102" i="11"/>
  <c r="E96" i="11"/>
  <c r="E99" i="11"/>
  <c r="E94" i="11"/>
  <c r="E91" i="11"/>
  <c r="E93" i="11"/>
  <c r="E101" i="11"/>
  <c r="E80" i="11"/>
  <c r="E104" i="11"/>
  <c r="E82" i="11"/>
  <c r="E83" i="11"/>
  <c r="E86" i="11"/>
  <c r="E85" i="11"/>
  <c r="E84" i="11"/>
  <c r="E109" i="11"/>
  <c r="E54" i="11"/>
  <c r="E81" i="11"/>
  <c r="E48" i="11"/>
  <c r="E49" i="11"/>
  <c r="E63" i="11"/>
  <c r="E76" i="11"/>
  <c r="E89" i="11"/>
  <c r="E87" i="11"/>
  <c r="E88" i="11"/>
  <c r="E51" i="11"/>
  <c r="E67" i="11"/>
  <c r="E50" i="11"/>
  <c r="E64" i="11"/>
  <c r="E65" i="11"/>
  <c r="E66" i="11"/>
  <c r="E62" i="11"/>
  <c r="E77" i="11"/>
  <c r="E58" i="11"/>
  <c r="E56" i="11"/>
  <c r="E57" i="11"/>
  <c r="E59" i="11"/>
  <c r="E60" i="11"/>
  <c r="E61" i="11"/>
  <c r="E74" i="11"/>
  <c r="E75" i="11"/>
  <c r="E55" i="11"/>
  <c r="E105" i="11"/>
  <c r="E106" i="11"/>
  <c r="E107" i="11"/>
  <c r="E108" i="11"/>
  <c r="E78" i="11"/>
  <c r="E68" i="11"/>
  <c r="E69" i="11"/>
  <c r="C90" i="11"/>
  <c r="O90" i="11" s="1"/>
  <c r="C73" i="11"/>
  <c r="O73" i="11" s="1"/>
  <c r="B14" i="9"/>
  <c r="E14" i="9" s="1"/>
  <c r="D14" i="9"/>
  <c r="I14" i="9"/>
  <c r="L49" i="11"/>
  <c r="L50" i="11"/>
  <c r="L51" i="11"/>
  <c r="L52" i="11"/>
  <c r="L53" i="11"/>
  <c r="L54" i="11"/>
  <c r="L55" i="11"/>
  <c r="L56" i="11"/>
  <c r="L57" i="11"/>
  <c r="L58" i="11"/>
  <c r="L59" i="11"/>
  <c r="L60" i="11"/>
  <c r="L61" i="11"/>
  <c r="L62" i="11"/>
  <c r="L63" i="11"/>
  <c r="L65" i="11"/>
  <c r="L66" i="11"/>
  <c r="L67" i="11"/>
  <c r="L68" i="11"/>
  <c r="L69" i="11"/>
  <c r="L70" i="11"/>
  <c r="L71" i="11"/>
  <c r="L72" i="11"/>
  <c r="L73" i="11"/>
  <c r="L74" i="11"/>
  <c r="L75" i="11"/>
  <c r="L76" i="11"/>
  <c r="L77" i="11"/>
  <c r="L78" i="11"/>
  <c r="L79" i="11"/>
  <c r="L80" i="11"/>
  <c r="L81" i="11"/>
  <c r="L82" i="11"/>
  <c r="L83" i="11"/>
  <c r="L84" i="11"/>
  <c r="L85" i="11"/>
  <c r="L86" i="11"/>
  <c r="L87" i="11"/>
  <c r="L88" i="11"/>
  <c r="L89" i="11"/>
  <c r="L90" i="11"/>
  <c r="L91" i="11"/>
  <c r="L92" i="11"/>
  <c r="L93" i="11"/>
  <c r="L94" i="11"/>
  <c r="L95" i="11"/>
  <c r="L96" i="11"/>
  <c r="L97" i="11"/>
  <c r="L98" i="11"/>
  <c r="L99" i="11"/>
  <c r="L100" i="11"/>
  <c r="L101" i="11"/>
  <c r="L48" i="11"/>
  <c r="C498" i="14" l="1"/>
  <c r="C310" i="14"/>
  <c r="H28" i="14"/>
  <c r="C246" i="14"/>
  <c r="C27" i="14"/>
  <c r="C377" i="14"/>
  <c r="C407" i="14"/>
  <c r="C270" i="14"/>
  <c r="AD139" i="11"/>
  <c r="V139" i="11"/>
  <c r="N139" i="11"/>
  <c r="E139" i="11"/>
  <c r="AA138" i="11"/>
  <c r="S138" i="11"/>
  <c r="K138" i="11"/>
  <c r="AB137" i="11"/>
  <c r="T137" i="11"/>
  <c r="L137" i="11"/>
  <c r="AG136" i="11"/>
  <c r="Y136" i="11"/>
  <c r="Q136" i="11"/>
  <c r="I136" i="11"/>
  <c r="AI135" i="11"/>
  <c r="AA135" i="11"/>
  <c r="S135" i="11"/>
  <c r="K135" i="11"/>
  <c r="AE134" i="11"/>
  <c r="W134" i="11"/>
  <c r="O134" i="11"/>
  <c r="F134" i="11"/>
  <c r="AG133" i="11"/>
  <c r="Y133" i="11"/>
  <c r="Q133" i="11"/>
  <c r="I133" i="11"/>
  <c r="AD132" i="11"/>
  <c r="V132" i="11"/>
  <c r="N132" i="11"/>
  <c r="E132" i="11"/>
  <c r="AA131" i="11"/>
  <c r="S131" i="11"/>
  <c r="K131" i="11"/>
  <c r="AL130" i="11"/>
  <c r="AD130" i="11"/>
  <c r="V130" i="11"/>
  <c r="N130" i="11"/>
  <c r="P150" i="9"/>
  <c r="H150" i="9"/>
  <c r="X149" i="9"/>
  <c r="P149" i="9"/>
  <c r="H149" i="9"/>
  <c r="AD151" i="9"/>
  <c r="AB139" i="11"/>
  <c r="T139" i="11"/>
  <c r="L139" i="11"/>
  <c r="AG138" i="11"/>
  <c r="Y138" i="11"/>
  <c r="Q138" i="11"/>
  <c r="I138" i="11"/>
  <c r="Z137" i="11"/>
  <c r="R137" i="11"/>
  <c r="J137" i="11"/>
  <c r="AE136" i="11"/>
  <c r="W136" i="11"/>
  <c r="O136" i="11"/>
  <c r="F136" i="11"/>
  <c r="AG135" i="11"/>
  <c r="Y135" i="11"/>
  <c r="Q135" i="11"/>
  <c r="I135" i="11"/>
  <c r="AC134" i="11"/>
  <c r="U134" i="11"/>
  <c r="M134" i="11"/>
  <c r="AE133" i="11"/>
  <c r="W133" i="11"/>
  <c r="O133" i="11"/>
  <c r="F133" i="11"/>
  <c r="AB132" i="11"/>
  <c r="T132" i="11"/>
  <c r="L132" i="11"/>
  <c r="AG131" i="11"/>
  <c r="Y131" i="11"/>
  <c r="Q131" i="11"/>
  <c r="I131" i="11"/>
  <c r="AJ130" i="11"/>
  <c r="AB130" i="11"/>
  <c r="T130" i="11"/>
  <c r="L130" i="11"/>
  <c r="T129" i="11"/>
  <c r="L129" i="11"/>
  <c r="W130" i="11"/>
  <c r="O130" i="11"/>
  <c r="F130" i="11"/>
  <c r="C139" i="11"/>
  <c r="C131" i="11"/>
  <c r="AE139" i="11"/>
  <c r="W139" i="11"/>
  <c r="O139" i="11"/>
  <c r="F139" i="11"/>
  <c r="AB138" i="11"/>
  <c r="T138" i="11"/>
  <c r="L138" i="11"/>
  <c r="AC137" i="11"/>
  <c r="U137" i="11"/>
  <c r="M137" i="11"/>
  <c r="Z136" i="11"/>
  <c r="R136" i="11"/>
  <c r="J136" i="11"/>
  <c r="AJ135" i="11"/>
  <c r="AB135" i="11"/>
  <c r="T135" i="11"/>
  <c r="L135" i="11"/>
  <c r="AF134" i="11"/>
  <c r="X134" i="11"/>
  <c r="P134" i="11"/>
  <c r="G134" i="11"/>
  <c r="AH133" i="11"/>
  <c r="Z133" i="11"/>
  <c r="R133" i="11"/>
  <c r="J133" i="11"/>
  <c r="AE132" i="11"/>
  <c r="W132" i="11"/>
  <c r="O132" i="11"/>
  <c r="F132" i="11"/>
  <c r="AB131" i="11"/>
  <c r="T131" i="11"/>
  <c r="L131" i="11"/>
  <c r="AM130" i="11"/>
  <c r="AE130" i="11"/>
  <c r="W129" i="11"/>
  <c r="O129" i="11"/>
  <c r="F129" i="11"/>
  <c r="Z139" i="11"/>
  <c r="R139" i="11"/>
  <c r="J139" i="11"/>
  <c r="AE138" i="11"/>
  <c r="W138" i="11"/>
  <c r="O138" i="11"/>
  <c r="F138" i="11"/>
  <c r="X137" i="11"/>
  <c r="P137" i="11"/>
  <c r="G137" i="11"/>
  <c r="AC136" i="11"/>
  <c r="U136" i="11"/>
  <c r="M136" i="11"/>
  <c r="AE135" i="11"/>
  <c r="W135" i="11"/>
  <c r="O135" i="11"/>
  <c r="F135" i="11"/>
  <c r="AA134" i="11"/>
  <c r="S134" i="11"/>
  <c r="K134" i="11"/>
  <c r="AK133" i="11"/>
  <c r="AC133" i="11"/>
  <c r="U133" i="11"/>
  <c r="M133" i="11"/>
  <c r="Z132" i="11"/>
  <c r="R132" i="11"/>
  <c r="J132" i="11"/>
  <c r="AE131" i="11"/>
  <c r="W131" i="11"/>
  <c r="O131" i="11"/>
  <c r="F131" i="11"/>
  <c r="AH130" i="11"/>
  <c r="Z130" i="11"/>
  <c r="R130" i="11"/>
  <c r="J130" i="11"/>
  <c r="Z129" i="11"/>
  <c r="R129" i="11"/>
  <c r="J129" i="11"/>
  <c r="C137" i="11"/>
  <c r="D134" i="11"/>
  <c r="E130" i="11"/>
  <c r="V129" i="11"/>
  <c r="N129" i="11"/>
  <c r="E129" i="11"/>
  <c r="L110" i="11"/>
  <c r="C133" i="11"/>
  <c r="C136" i="11"/>
  <c r="D136" i="11"/>
  <c r="Y139" i="11"/>
  <c r="Q139" i="11"/>
  <c r="I139" i="11"/>
  <c r="AD138" i="11"/>
  <c r="V138" i="11"/>
  <c r="N138" i="11"/>
  <c r="E138" i="11"/>
  <c r="W137" i="11"/>
  <c r="AF139" i="11"/>
  <c r="X139" i="11"/>
  <c r="P139" i="11"/>
  <c r="G139" i="11"/>
  <c r="AC138" i="11"/>
  <c r="U138" i="11"/>
  <c r="M138" i="11"/>
  <c r="V137" i="11"/>
  <c r="N137" i="11"/>
  <c r="E137" i="11"/>
  <c r="AA136" i="11"/>
  <c r="S136" i="11"/>
  <c r="K136" i="11"/>
  <c r="AK135" i="11"/>
  <c r="AC135" i="11"/>
  <c r="U135" i="11"/>
  <c r="M135" i="11"/>
  <c r="Y134" i="11"/>
  <c r="Q134" i="11"/>
  <c r="I134" i="11"/>
  <c r="AI133" i="11"/>
  <c r="AA133" i="11"/>
  <c r="S133" i="11"/>
  <c r="K133" i="11"/>
  <c r="AF132" i="11"/>
  <c r="X132" i="11"/>
  <c r="P132" i="11"/>
  <c r="G132" i="11"/>
  <c r="AC131" i="11"/>
  <c r="U131" i="11"/>
  <c r="M131" i="11"/>
  <c r="AF130" i="11"/>
  <c r="X130" i="11"/>
  <c r="P130" i="11"/>
  <c r="G130" i="11"/>
  <c r="X129" i="11"/>
  <c r="P129" i="11"/>
  <c r="G129" i="11"/>
  <c r="C132" i="11"/>
  <c r="AA139" i="11"/>
  <c r="S139" i="11"/>
  <c r="K139" i="11"/>
  <c r="AF138" i="11"/>
  <c r="X138" i="11"/>
  <c r="P138" i="11"/>
  <c r="G138" i="11"/>
  <c r="Y137" i="11"/>
  <c r="Q137" i="11"/>
  <c r="I137" i="11"/>
  <c r="AD136" i="11"/>
  <c r="V136" i="11"/>
  <c r="N136" i="11"/>
  <c r="E136" i="11"/>
  <c r="AF135" i="11"/>
  <c r="X135" i="11"/>
  <c r="P135" i="11"/>
  <c r="G135" i="11"/>
  <c r="AB134" i="11"/>
  <c r="T134" i="11"/>
  <c r="L134" i="11"/>
  <c r="AL133" i="11"/>
  <c r="AD133" i="11"/>
  <c r="V133" i="11"/>
  <c r="N133" i="11"/>
  <c r="E133" i="11"/>
  <c r="AA132" i="11"/>
  <c r="S132" i="11"/>
  <c r="K132" i="11"/>
  <c r="AF131" i="11"/>
  <c r="X131" i="11"/>
  <c r="P131" i="11"/>
  <c r="G131" i="11"/>
  <c r="AI130" i="11"/>
  <c r="AA130" i="11"/>
  <c r="S130" i="11"/>
  <c r="K130" i="11"/>
  <c r="AA129" i="11"/>
  <c r="S129" i="11"/>
  <c r="K129" i="11"/>
  <c r="C138" i="11"/>
  <c r="C130" i="11"/>
  <c r="O137" i="11"/>
  <c r="F137" i="11"/>
  <c r="AB136" i="11"/>
  <c r="T136" i="11"/>
  <c r="L136" i="11"/>
  <c r="AL135" i="11"/>
  <c r="AD135" i="11"/>
  <c r="V135" i="11"/>
  <c r="N135" i="11"/>
  <c r="E135" i="11"/>
  <c r="Z134" i="11"/>
  <c r="R134" i="11"/>
  <c r="J134" i="11"/>
  <c r="AJ133" i="11"/>
  <c r="AB133" i="11"/>
  <c r="T133" i="11"/>
  <c r="L133" i="11"/>
  <c r="AG132" i="11"/>
  <c r="Y132" i="11"/>
  <c r="Q132" i="11"/>
  <c r="I132" i="11"/>
  <c r="AD131" i="11"/>
  <c r="V131" i="11"/>
  <c r="N131" i="11"/>
  <c r="E131" i="11"/>
  <c r="AG130" i="11"/>
  <c r="Y130" i="11"/>
  <c r="Q130" i="11"/>
  <c r="I130" i="11"/>
  <c r="Y129" i="11"/>
  <c r="Q129" i="11"/>
  <c r="I129" i="11"/>
  <c r="D138" i="11"/>
  <c r="D135" i="11"/>
  <c r="D131" i="11"/>
  <c r="C135" i="11"/>
  <c r="D133" i="11"/>
  <c r="C134" i="11"/>
  <c r="AC139" i="11"/>
  <c r="U139" i="11"/>
  <c r="M139" i="11"/>
  <c r="D139" i="11"/>
  <c r="Z138" i="11"/>
  <c r="R138" i="11"/>
  <c r="J138" i="11"/>
  <c r="AA137" i="11"/>
  <c r="S137" i="11"/>
  <c r="K137" i="11"/>
  <c r="AF136" i="11"/>
  <c r="X136" i="11"/>
  <c r="P136" i="11"/>
  <c r="G136" i="11"/>
  <c r="AH135" i="11"/>
  <c r="Z135" i="11"/>
  <c r="R135" i="11"/>
  <c r="J135" i="11"/>
  <c r="AD134" i="11"/>
  <c r="V134" i="11"/>
  <c r="N134" i="11"/>
  <c r="E134" i="11"/>
  <c r="AF133" i="11"/>
  <c r="X133" i="11"/>
  <c r="P133" i="11"/>
  <c r="G133" i="11"/>
  <c r="AC132" i="11"/>
  <c r="U132" i="11"/>
  <c r="M132" i="11"/>
  <c r="D132" i="11"/>
  <c r="Z131" i="11"/>
  <c r="R131" i="11"/>
  <c r="J131" i="11"/>
  <c r="AK130" i="11"/>
  <c r="AC130" i="11"/>
  <c r="U130" i="11"/>
  <c r="M130" i="11"/>
  <c r="D130" i="11"/>
  <c r="U129" i="11"/>
  <c r="M129" i="11"/>
  <c r="D129" i="11"/>
  <c r="D137" i="11"/>
  <c r="Y151" i="9"/>
  <c r="Q151" i="9"/>
  <c r="I151" i="9"/>
  <c r="Y150" i="9"/>
  <c r="Q150" i="9"/>
  <c r="I150" i="9"/>
  <c r="Y149" i="9"/>
  <c r="E110" i="11"/>
  <c r="S151" i="9"/>
  <c r="K151" i="9"/>
  <c r="S150" i="9"/>
  <c r="K150" i="9"/>
  <c r="S149" i="9"/>
  <c r="H14" i="9"/>
  <c r="F14" i="9"/>
  <c r="G14" i="9" s="1"/>
  <c r="Q149" i="9"/>
  <c r="T151" i="9"/>
  <c r="L151" i="9"/>
  <c r="D151" i="9"/>
  <c r="T150" i="9"/>
  <c r="L150" i="9"/>
  <c r="D150" i="9"/>
  <c r="T149" i="9"/>
  <c r="L149" i="9"/>
  <c r="C150" i="9"/>
  <c r="Z151" i="9"/>
  <c r="R151" i="9"/>
  <c r="J151" i="9"/>
  <c r="Z150" i="9"/>
  <c r="R150" i="9"/>
  <c r="AF151" i="9"/>
  <c r="I149" i="9"/>
  <c r="AE151" i="9"/>
  <c r="V151" i="9"/>
  <c r="N151" i="9"/>
  <c r="F151" i="9"/>
  <c r="V150" i="9"/>
  <c r="N150" i="9"/>
  <c r="F150" i="9"/>
  <c r="V149" i="9"/>
  <c r="N149" i="9"/>
  <c r="F149" i="9"/>
  <c r="AB151" i="9"/>
  <c r="E150" i="9"/>
  <c r="U149" i="9"/>
  <c r="M149" i="9"/>
  <c r="D149" i="9"/>
  <c r="U151" i="9"/>
  <c r="M151" i="9"/>
  <c r="E151" i="9"/>
  <c r="U150" i="9"/>
  <c r="M150" i="9"/>
  <c r="E149" i="9"/>
  <c r="AA151" i="9"/>
  <c r="AA150" i="9"/>
  <c r="C151" i="9"/>
  <c r="K149" i="9"/>
  <c r="J150" i="9"/>
  <c r="Z149" i="9"/>
  <c r="R149" i="9"/>
  <c r="J149" i="9"/>
  <c r="X151" i="9"/>
  <c r="P151" i="9"/>
  <c r="H151" i="9"/>
  <c r="X150" i="9"/>
  <c r="W151" i="9"/>
  <c r="O151" i="9"/>
  <c r="G151" i="9"/>
  <c r="W150" i="9"/>
  <c r="O150" i="9"/>
  <c r="G150" i="9"/>
  <c r="W149" i="9"/>
  <c r="O149" i="9"/>
  <c r="G149" i="9"/>
  <c r="AC151" i="9"/>
  <c r="C311" i="14" l="1"/>
  <c r="C468" i="14"/>
  <c r="C529" i="14"/>
  <c r="G29" i="14"/>
  <c r="H29" i="14" s="1"/>
  <c r="C28" i="14"/>
  <c r="C34" i="14"/>
  <c r="C247" i="14"/>
  <c r="C65" i="14"/>
  <c r="C408" i="14"/>
  <c r="C378" i="14"/>
  <c r="C437" i="14"/>
  <c r="C271" i="14"/>
  <c r="AI150" i="9"/>
  <c r="AO136" i="11"/>
  <c r="AI151" i="9"/>
  <c r="AO139" i="11"/>
  <c r="AO133" i="11"/>
  <c r="AO135" i="11"/>
  <c r="AO131" i="11"/>
  <c r="AO132" i="11"/>
  <c r="AO130" i="11"/>
  <c r="AO137" i="11"/>
  <c r="AO138" i="11"/>
  <c r="AO134" i="11"/>
  <c r="AI149" i="9"/>
  <c r="AO129" i="11"/>
  <c r="J14" i="9"/>
  <c r="L14" i="9"/>
  <c r="F54" i="11"/>
  <c r="C560" i="14" l="1"/>
  <c r="C248" i="14"/>
  <c r="C96" i="14"/>
  <c r="C35" i="14"/>
  <c r="C66" i="14"/>
  <c r="C29" i="14"/>
  <c r="C469" i="14"/>
  <c r="C438" i="14"/>
  <c r="C379" i="14"/>
  <c r="C499" i="14"/>
  <c r="C409" i="14"/>
  <c r="C272" i="14"/>
  <c r="AO140" i="11"/>
  <c r="C470" i="14" l="1"/>
  <c r="C591" i="14"/>
  <c r="C249" i="14"/>
  <c r="C313" i="14"/>
  <c r="G30" i="14"/>
  <c r="H30" i="14" s="1"/>
  <c r="C67" i="14"/>
  <c r="C36" i="14"/>
  <c r="C97" i="14"/>
  <c r="C30" i="14"/>
  <c r="C530" i="14"/>
  <c r="C500" i="14"/>
  <c r="C380" i="14"/>
  <c r="C410" i="14"/>
  <c r="C439" i="14"/>
  <c r="C471" i="14"/>
  <c r="C273" i="14"/>
  <c r="C344" i="14" l="1"/>
  <c r="C314" i="14"/>
  <c r="C31" i="14"/>
  <c r="C98" i="14"/>
  <c r="C37" i="14"/>
  <c r="C68" i="14"/>
  <c r="C501" i="14"/>
  <c r="C472" i="14"/>
  <c r="C531" i="14"/>
  <c r="C440" i="14"/>
  <c r="C381" i="14"/>
  <c r="C411" i="14"/>
  <c r="C274" i="14"/>
  <c r="C32" i="14" l="1"/>
  <c r="C345" i="14"/>
  <c r="C315" i="14"/>
  <c r="G31" i="14"/>
  <c r="H31" i="14" s="1"/>
  <c r="C99" i="14"/>
  <c r="C69" i="14"/>
  <c r="C38" i="14"/>
  <c r="C532" i="14"/>
  <c r="C382" i="14"/>
  <c r="C473" i="14"/>
  <c r="C441" i="14"/>
  <c r="C502" i="14"/>
  <c r="C412" i="14"/>
  <c r="C275" i="14"/>
  <c r="C98" i="11"/>
  <c r="O98" i="11" s="1"/>
  <c r="C97" i="11"/>
  <c r="O97" i="11" s="1"/>
  <c r="C100" i="11"/>
  <c r="O100" i="11" s="1"/>
  <c r="C95" i="11"/>
  <c r="O95" i="11" s="1"/>
  <c r="C103" i="11"/>
  <c r="O103" i="11" s="1"/>
  <c r="C92" i="11"/>
  <c r="O92" i="11" s="1"/>
  <c r="C102" i="11"/>
  <c r="O102" i="11" s="1"/>
  <c r="C96" i="11"/>
  <c r="O96" i="11" s="1"/>
  <c r="C99" i="11"/>
  <c r="O99" i="11" s="1"/>
  <c r="C94" i="11"/>
  <c r="O94" i="11" s="1"/>
  <c r="C91" i="11"/>
  <c r="O91" i="11" s="1"/>
  <c r="C93" i="11"/>
  <c r="O93" i="11" s="1"/>
  <c r="C101" i="11"/>
  <c r="O101" i="11" s="1"/>
  <c r="C80" i="11"/>
  <c r="O80" i="11" s="1"/>
  <c r="C104" i="11"/>
  <c r="O104" i="11" s="1"/>
  <c r="C52" i="11"/>
  <c r="O52" i="11" s="1"/>
  <c r="C83" i="11"/>
  <c r="O83" i="11" s="1"/>
  <c r="C86" i="11"/>
  <c r="O86" i="11" s="1"/>
  <c r="C85" i="11"/>
  <c r="O85" i="11" s="1"/>
  <c r="C82" i="11"/>
  <c r="O82" i="11" s="1"/>
  <c r="C109" i="11"/>
  <c r="O109" i="11" s="1"/>
  <c r="C84" i="11"/>
  <c r="O84" i="11" s="1"/>
  <c r="C54" i="11"/>
  <c r="O54" i="11" s="1"/>
  <c r="C81" i="11"/>
  <c r="O81" i="11" s="1"/>
  <c r="C49" i="11"/>
  <c r="O49" i="11" s="1"/>
  <c r="C89" i="11"/>
  <c r="O89" i="11" s="1"/>
  <c r="C87" i="11"/>
  <c r="O87" i="11" s="1"/>
  <c r="C88" i="11"/>
  <c r="O88" i="11" s="1"/>
  <c r="C63" i="11"/>
  <c r="O63" i="11" s="1"/>
  <c r="C48" i="11"/>
  <c r="O48" i="11" s="1"/>
  <c r="C76" i="11"/>
  <c r="O76" i="11" s="1"/>
  <c r="C51" i="11"/>
  <c r="O51" i="11" s="1"/>
  <c r="C64" i="11"/>
  <c r="O64" i="11" s="1"/>
  <c r="C50" i="11"/>
  <c r="O50" i="11" s="1"/>
  <c r="C65" i="11"/>
  <c r="O65" i="11" s="1"/>
  <c r="C66" i="11"/>
  <c r="O66" i="11" s="1"/>
  <c r="C62" i="11"/>
  <c r="O62" i="11" s="1"/>
  <c r="C77" i="11"/>
  <c r="O77" i="11" s="1"/>
  <c r="C58" i="11"/>
  <c r="O58" i="11" s="1"/>
  <c r="C56" i="11"/>
  <c r="O56" i="11" s="1"/>
  <c r="C57" i="11"/>
  <c r="O57" i="11" s="1"/>
  <c r="C59" i="11"/>
  <c r="O59" i="11" s="1"/>
  <c r="C61" i="11"/>
  <c r="O61" i="11" s="1"/>
  <c r="C60" i="11"/>
  <c r="O60" i="11" s="1"/>
  <c r="C74" i="11"/>
  <c r="O74" i="11" s="1"/>
  <c r="C75" i="11"/>
  <c r="O75" i="11" s="1"/>
  <c r="C55" i="11"/>
  <c r="O55" i="11" s="1"/>
  <c r="C105" i="11"/>
  <c r="O105" i="11" s="1"/>
  <c r="C106" i="11"/>
  <c r="O106" i="11" s="1"/>
  <c r="C107" i="11"/>
  <c r="O107" i="11" s="1"/>
  <c r="C108" i="11"/>
  <c r="O108" i="11" s="1"/>
  <c r="C78" i="11"/>
  <c r="O78" i="11" s="1"/>
  <c r="C70" i="11"/>
  <c r="O70" i="11" s="1"/>
  <c r="C68" i="11"/>
  <c r="O68" i="11" s="1"/>
  <c r="C69" i="11"/>
  <c r="O69" i="11" s="1"/>
  <c r="C71" i="11"/>
  <c r="O71" i="11" s="1"/>
  <c r="C72" i="11"/>
  <c r="O72" i="11" s="1"/>
  <c r="C79" i="11"/>
  <c r="O79" i="11" s="1"/>
  <c r="D15" i="9"/>
  <c r="D16" i="9"/>
  <c r="D17" i="9"/>
  <c r="D18" i="9"/>
  <c r="D19" i="9"/>
  <c r="D20" i="9"/>
  <c r="D21" i="9"/>
  <c r="D22" i="9"/>
  <c r="D23" i="9"/>
  <c r="D24" i="9"/>
  <c r="D25" i="9"/>
  <c r="D26" i="9"/>
  <c r="D27" i="9"/>
  <c r="D28" i="9"/>
  <c r="D29" i="9"/>
  <c r="D30" i="9"/>
  <c r="D31" i="9"/>
  <c r="D32" i="9"/>
  <c r="D33" i="9"/>
  <c r="D34" i="9"/>
  <c r="D35" i="9"/>
  <c r="D36" i="9"/>
  <c r="D37" i="9"/>
  <c r="D38" i="9"/>
  <c r="D39" i="9"/>
  <c r="D40" i="9"/>
  <c r="D41" i="9"/>
  <c r="D42" i="9"/>
  <c r="D43" i="9"/>
  <c r="D44" i="9"/>
  <c r="D45" i="9"/>
  <c r="D46" i="9"/>
  <c r="D47" i="9"/>
  <c r="D48" i="9"/>
  <c r="D49" i="9"/>
  <c r="D50" i="9"/>
  <c r="D51" i="9"/>
  <c r="D52" i="9"/>
  <c r="D53" i="9"/>
  <c r="D54" i="9"/>
  <c r="D55" i="9"/>
  <c r="D56" i="9"/>
  <c r="D57" i="9"/>
  <c r="D58" i="9"/>
  <c r="D59" i="9"/>
  <c r="D60" i="9"/>
  <c r="D61" i="9"/>
  <c r="D62" i="9"/>
  <c r="D63" i="9"/>
  <c r="D64" i="9"/>
  <c r="D65" i="9"/>
  <c r="D66" i="9"/>
  <c r="D67" i="9"/>
  <c r="D68" i="9"/>
  <c r="D69" i="9"/>
  <c r="D70" i="9"/>
  <c r="D71" i="9"/>
  <c r="D72" i="9"/>
  <c r="D73" i="9"/>
  <c r="D74" i="9"/>
  <c r="D75" i="9"/>
  <c r="D76" i="9"/>
  <c r="D77" i="9"/>
  <c r="D78" i="9"/>
  <c r="D79" i="9"/>
  <c r="D80" i="9"/>
  <c r="D81" i="9"/>
  <c r="D82" i="9"/>
  <c r="D83" i="9"/>
  <c r="D84" i="9"/>
  <c r="D85" i="9"/>
  <c r="D86" i="9"/>
  <c r="D87" i="9"/>
  <c r="D88" i="9"/>
  <c r="D89" i="9"/>
  <c r="D90" i="9"/>
  <c r="D91" i="9"/>
  <c r="D92" i="9"/>
  <c r="D93" i="9"/>
  <c r="D94" i="9"/>
  <c r="D95" i="9"/>
  <c r="D96" i="9"/>
  <c r="D97" i="9"/>
  <c r="D98" i="9"/>
  <c r="D99" i="9"/>
  <c r="D100" i="9"/>
  <c r="D101" i="9"/>
  <c r="D102" i="9"/>
  <c r="D103" i="9"/>
  <c r="D104" i="9"/>
  <c r="D105" i="9"/>
  <c r="D106" i="9"/>
  <c r="D107" i="9"/>
  <c r="D108" i="9"/>
  <c r="D109" i="9"/>
  <c r="D110" i="9"/>
  <c r="D111" i="9"/>
  <c r="D112" i="9"/>
  <c r="D113" i="9"/>
  <c r="D114" i="9"/>
  <c r="D115" i="9"/>
  <c r="D116" i="9"/>
  <c r="D117" i="9"/>
  <c r="D118" i="9"/>
  <c r="D119" i="9"/>
  <c r="D120" i="9"/>
  <c r="D121" i="9"/>
  <c r="D122" i="9"/>
  <c r="D123" i="9"/>
  <c r="D124" i="9"/>
  <c r="D125" i="9"/>
  <c r="D126" i="9"/>
  <c r="D127" i="9"/>
  <c r="D128" i="9"/>
  <c r="D129" i="9"/>
  <c r="D130" i="9"/>
  <c r="D131" i="9"/>
  <c r="D132" i="9"/>
  <c r="D133" i="9"/>
  <c r="D134" i="9"/>
  <c r="D135" i="9"/>
  <c r="D136" i="9"/>
  <c r="D137" i="9"/>
  <c r="D138" i="9"/>
  <c r="H18" i="10"/>
  <c r="C19" i="10"/>
  <c r="C20" i="10"/>
  <c r="C21" i="10"/>
  <c r="C22" i="10"/>
  <c r="C23" i="10"/>
  <c r="C24" i="10"/>
  <c r="C25" i="10"/>
  <c r="C26" i="10"/>
  <c r="C27" i="10"/>
  <c r="C28" i="10"/>
  <c r="C29" i="10"/>
  <c r="C30" i="10"/>
  <c r="C31" i="10"/>
  <c r="C32" i="10"/>
  <c r="C33" i="10"/>
  <c r="C34" i="10"/>
  <c r="C35" i="10"/>
  <c r="C36" i="10"/>
  <c r="C43" i="10"/>
  <c r="C18" i="10"/>
  <c r="B18" i="10"/>
  <c r="D18" i="10" s="1"/>
  <c r="B19" i="10"/>
  <c r="B20" i="10"/>
  <c r="B21" i="10"/>
  <c r="B22" i="10"/>
  <c r="B23" i="10"/>
  <c r="B24" i="10"/>
  <c r="B25" i="10"/>
  <c r="B26" i="10"/>
  <c r="B27" i="10"/>
  <c r="B28" i="10"/>
  <c r="B29" i="10"/>
  <c r="B30" i="10"/>
  <c r="B31" i="10"/>
  <c r="B32" i="10"/>
  <c r="B33" i="10"/>
  <c r="B34" i="10"/>
  <c r="B35" i="10"/>
  <c r="G35" i="10" s="1"/>
  <c r="B36" i="10"/>
  <c r="G36" i="10" s="1"/>
  <c r="B43" i="10"/>
  <c r="I68" i="9"/>
  <c r="I69" i="9"/>
  <c r="I70" i="9"/>
  <c r="I71" i="9"/>
  <c r="I72" i="9"/>
  <c r="I73" i="9"/>
  <c r="I128" i="9"/>
  <c r="I74" i="9"/>
  <c r="I75" i="9"/>
  <c r="I76" i="9"/>
  <c r="I129" i="9"/>
  <c r="I77" i="9"/>
  <c r="I78" i="9"/>
  <c r="I79" i="9"/>
  <c r="I80" i="9"/>
  <c r="I81" i="9"/>
  <c r="I130" i="9"/>
  <c r="I82" i="9"/>
  <c r="I83" i="9"/>
  <c r="I84" i="9"/>
  <c r="I122" i="9"/>
  <c r="I85" i="9"/>
  <c r="I86" i="9"/>
  <c r="I87" i="9"/>
  <c r="I131" i="9"/>
  <c r="I88" i="9"/>
  <c r="I89" i="9"/>
  <c r="I132" i="9"/>
  <c r="I90" i="9"/>
  <c r="I91" i="9"/>
  <c r="I92" i="9"/>
  <c r="I93" i="9"/>
  <c r="I133" i="9"/>
  <c r="I94" i="9"/>
  <c r="I95" i="9"/>
  <c r="I134" i="9"/>
  <c r="I96" i="9"/>
  <c r="I97" i="9"/>
  <c r="I98" i="9"/>
  <c r="I135" i="9"/>
  <c r="I99" i="9"/>
  <c r="I100" i="9"/>
  <c r="I101" i="9"/>
  <c r="I102" i="9"/>
  <c r="I103" i="9"/>
  <c r="I104" i="9"/>
  <c r="I120" i="9"/>
  <c r="I105" i="9"/>
  <c r="I106" i="9"/>
  <c r="I107" i="9"/>
  <c r="I108" i="9"/>
  <c r="I109" i="9"/>
  <c r="I110" i="9"/>
  <c r="I136" i="9"/>
  <c r="I137" i="9"/>
  <c r="I111" i="9"/>
  <c r="I112" i="9"/>
  <c r="I113" i="9"/>
  <c r="I138" i="9"/>
  <c r="I114" i="9"/>
  <c r="I115" i="9"/>
  <c r="I116" i="9"/>
  <c r="I117" i="9"/>
  <c r="I118" i="9"/>
  <c r="I119" i="9"/>
  <c r="I67" i="9"/>
  <c r="I127" i="9"/>
  <c r="I66" i="9"/>
  <c r="I65" i="9"/>
  <c r="I64" i="9"/>
  <c r="I126" i="9"/>
  <c r="I63" i="9"/>
  <c r="I62" i="9"/>
  <c r="I61" i="9"/>
  <c r="I60" i="9"/>
  <c r="I125" i="9"/>
  <c r="I59" i="9"/>
  <c r="I58" i="9"/>
  <c r="I57" i="9"/>
  <c r="I56" i="9"/>
  <c r="I55" i="9"/>
  <c r="I54" i="9"/>
  <c r="I53" i="9"/>
  <c r="I121" i="9"/>
  <c r="I52" i="9"/>
  <c r="I51" i="9"/>
  <c r="I50" i="9"/>
  <c r="I124" i="9"/>
  <c r="I49" i="9"/>
  <c r="I48" i="9"/>
  <c r="I47" i="9"/>
  <c r="I46" i="9"/>
  <c r="I123" i="9"/>
  <c r="I45" i="9"/>
  <c r="I44" i="9"/>
  <c r="I43" i="9"/>
  <c r="I42" i="9"/>
  <c r="I41" i="9"/>
  <c r="I40" i="9"/>
  <c r="I39" i="9"/>
  <c r="I38" i="9"/>
  <c r="I37" i="9"/>
  <c r="I36" i="9"/>
  <c r="I35" i="9"/>
  <c r="I34" i="9"/>
  <c r="I33" i="9"/>
  <c r="I32" i="9"/>
  <c r="I31" i="9"/>
  <c r="I30" i="9"/>
  <c r="I29" i="9"/>
  <c r="I28" i="9"/>
  <c r="I27" i="9"/>
  <c r="I26" i="9"/>
  <c r="I25" i="9"/>
  <c r="I24" i="9"/>
  <c r="I23" i="9"/>
  <c r="I22" i="9"/>
  <c r="I21" i="9"/>
  <c r="I20" i="9"/>
  <c r="I19" i="9"/>
  <c r="I18" i="9"/>
  <c r="I17" i="9"/>
  <c r="I16" i="9"/>
  <c r="I15" i="9"/>
  <c r="H43" i="10"/>
  <c r="H36" i="10"/>
  <c r="H35" i="10"/>
  <c r="H34" i="10"/>
  <c r="E34" i="10"/>
  <c r="E33" i="10"/>
  <c r="H32" i="10"/>
  <c r="E32" i="10"/>
  <c r="H31" i="10"/>
  <c r="E31" i="10"/>
  <c r="H30" i="10"/>
  <c r="E30" i="10"/>
  <c r="H29" i="10"/>
  <c r="E29" i="10"/>
  <c r="H28" i="10"/>
  <c r="E28" i="10"/>
  <c r="H27" i="10"/>
  <c r="E27" i="10"/>
  <c r="H26" i="10"/>
  <c r="E26" i="10"/>
  <c r="H25" i="10"/>
  <c r="E25" i="10"/>
  <c r="H24" i="10"/>
  <c r="E24" i="10"/>
  <c r="H23" i="10"/>
  <c r="E23" i="10"/>
  <c r="H22" i="10"/>
  <c r="E22" i="10"/>
  <c r="H21" i="10"/>
  <c r="E21" i="10"/>
  <c r="H20" i="10"/>
  <c r="E20" i="10"/>
  <c r="H19" i="10"/>
  <c r="E19" i="10"/>
  <c r="C622" i="14" l="1"/>
  <c r="C316" i="14"/>
  <c r="C346" i="14"/>
  <c r="C39" i="14"/>
  <c r="C70" i="14"/>
  <c r="C100" i="14"/>
  <c r="C442" i="14"/>
  <c r="C413" i="14"/>
  <c r="C474" i="14"/>
  <c r="C503" i="14"/>
  <c r="C383" i="14"/>
  <c r="C533" i="14"/>
  <c r="C276" i="14"/>
  <c r="O110" i="11"/>
  <c r="D139" i="9"/>
  <c r="I139" i="9"/>
  <c r="H44" i="10"/>
  <c r="E44" i="10"/>
  <c r="B16" i="9"/>
  <c r="B17" i="9"/>
  <c r="B18" i="9"/>
  <c r="B19" i="9"/>
  <c r="B20" i="9"/>
  <c r="B21" i="9"/>
  <c r="B22" i="9"/>
  <c r="B23" i="9"/>
  <c r="B24" i="9"/>
  <c r="B25" i="9"/>
  <c r="B26" i="9"/>
  <c r="B27" i="9"/>
  <c r="B28" i="9"/>
  <c r="B29" i="9"/>
  <c r="B30" i="9"/>
  <c r="B31" i="9"/>
  <c r="B32" i="9"/>
  <c r="B33" i="9"/>
  <c r="B34" i="9"/>
  <c r="B35" i="9"/>
  <c r="B36" i="9"/>
  <c r="B37" i="9"/>
  <c r="B38" i="9"/>
  <c r="B39" i="9"/>
  <c r="B40" i="9"/>
  <c r="B41" i="9"/>
  <c r="B42" i="9"/>
  <c r="B43" i="9"/>
  <c r="B44" i="9"/>
  <c r="B45" i="9"/>
  <c r="B123" i="9"/>
  <c r="B46" i="9"/>
  <c r="B47" i="9"/>
  <c r="B48" i="9"/>
  <c r="B49" i="9"/>
  <c r="B124" i="9"/>
  <c r="B50" i="9"/>
  <c r="B51" i="9"/>
  <c r="B52" i="9"/>
  <c r="B121" i="9"/>
  <c r="B53" i="9"/>
  <c r="B54" i="9"/>
  <c r="B55" i="9"/>
  <c r="B56" i="9"/>
  <c r="B57" i="9"/>
  <c r="B58" i="9"/>
  <c r="B59" i="9"/>
  <c r="B125" i="9"/>
  <c r="B60" i="9"/>
  <c r="B61" i="9"/>
  <c r="B62" i="9"/>
  <c r="B63" i="9"/>
  <c r="B126" i="9"/>
  <c r="B64" i="9"/>
  <c r="B65" i="9"/>
  <c r="B66" i="9"/>
  <c r="B127" i="9"/>
  <c r="B67" i="9"/>
  <c r="B68" i="9"/>
  <c r="B69" i="9"/>
  <c r="B70" i="9"/>
  <c r="B71" i="9"/>
  <c r="B72" i="9"/>
  <c r="B73" i="9"/>
  <c r="B128" i="9"/>
  <c r="B74" i="9"/>
  <c r="B75" i="9"/>
  <c r="B76" i="9"/>
  <c r="B129" i="9"/>
  <c r="B77" i="9"/>
  <c r="B78" i="9"/>
  <c r="B79" i="9"/>
  <c r="B80" i="9"/>
  <c r="B81" i="9"/>
  <c r="B130" i="9"/>
  <c r="B82" i="9"/>
  <c r="B83" i="9"/>
  <c r="B84" i="9"/>
  <c r="B122" i="9"/>
  <c r="B85" i="9"/>
  <c r="B86" i="9"/>
  <c r="B87" i="9"/>
  <c r="B131" i="9"/>
  <c r="B88" i="9"/>
  <c r="B89" i="9"/>
  <c r="B132" i="9"/>
  <c r="B90" i="9"/>
  <c r="B91" i="9"/>
  <c r="B92" i="9"/>
  <c r="B93" i="9"/>
  <c r="B133" i="9"/>
  <c r="B94" i="9"/>
  <c r="B95" i="9"/>
  <c r="B134" i="9"/>
  <c r="B96" i="9"/>
  <c r="B97" i="9"/>
  <c r="B98" i="9"/>
  <c r="B135" i="9"/>
  <c r="B99" i="9"/>
  <c r="B100" i="9"/>
  <c r="B101" i="9"/>
  <c r="B102" i="9"/>
  <c r="B103" i="9"/>
  <c r="B104" i="9"/>
  <c r="B120" i="9"/>
  <c r="B105" i="9"/>
  <c r="B106" i="9"/>
  <c r="B107" i="9"/>
  <c r="B108" i="9"/>
  <c r="B109" i="9"/>
  <c r="B110" i="9"/>
  <c r="B136" i="9"/>
  <c r="B137" i="9"/>
  <c r="B111" i="9"/>
  <c r="B112" i="9"/>
  <c r="B113" i="9"/>
  <c r="B138" i="9"/>
  <c r="B114" i="9"/>
  <c r="B115" i="9"/>
  <c r="B116" i="9"/>
  <c r="B117" i="9"/>
  <c r="B118" i="9"/>
  <c r="B119" i="9"/>
  <c r="B15" i="9"/>
  <c r="C653" i="14" l="1"/>
  <c r="C347" i="14"/>
  <c r="C317" i="14"/>
  <c r="G32" i="14"/>
  <c r="H32" i="14" s="1"/>
  <c r="C101" i="14"/>
  <c r="C71" i="14"/>
  <c r="C40" i="14"/>
  <c r="C534" i="14"/>
  <c r="C475" i="14"/>
  <c r="C384" i="14"/>
  <c r="C414" i="14"/>
  <c r="C504" i="14"/>
  <c r="C561" i="14"/>
  <c r="C443" i="14"/>
  <c r="C277" i="14"/>
  <c r="C318" i="14" l="1"/>
  <c r="C348" i="14"/>
  <c r="C41" i="14"/>
  <c r="C72" i="14"/>
  <c r="C102" i="14"/>
  <c r="C127" i="14"/>
  <c r="C592" i="14"/>
  <c r="C562" i="14"/>
  <c r="C444" i="14"/>
  <c r="C476" i="14"/>
  <c r="C505" i="14"/>
  <c r="C415" i="14"/>
  <c r="C535" i="14"/>
  <c r="C385" i="14"/>
  <c r="C278" i="14"/>
  <c r="C593" i="14" l="1"/>
  <c r="C839" i="14"/>
  <c r="C319" i="14"/>
  <c r="C349" i="14"/>
  <c r="C42" i="14"/>
  <c r="C128" i="14"/>
  <c r="C103" i="14"/>
  <c r="C73" i="14"/>
  <c r="C594" i="14"/>
  <c r="C536" i="14"/>
  <c r="C477" i="14"/>
  <c r="C386" i="14"/>
  <c r="C416" i="14"/>
  <c r="C506" i="14"/>
  <c r="C445" i="14"/>
  <c r="C563" i="14"/>
  <c r="C279" i="14"/>
  <c r="C280" i="14" l="1"/>
  <c r="C320" i="14"/>
  <c r="C350" i="14"/>
  <c r="C129" i="14"/>
  <c r="C43" i="14"/>
  <c r="C74" i="14"/>
  <c r="C104" i="14"/>
  <c r="C870" i="14"/>
  <c r="C840" i="14"/>
  <c r="C595" i="14"/>
  <c r="C564" i="14"/>
  <c r="C507" i="14"/>
  <c r="C417" i="14"/>
  <c r="C478" i="14"/>
  <c r="C446" i="14"/>
  <c r="C387" i="14"/>
  <c r="C537" i="14"/>
  <c r="C321" i="14" l="1"/>
  <c r="C351" i="14"/>
  <c r="C44" i="14"/>
  <c r="C75" i="14"/>
  <c r="C105" i="14"/>
  <c r="C130" i="14"/>
  <c r="C871" i="14"/>
  <c r="C841" i="14"/>
  <c r="C901" i="14"/>
  <c r="C388" i="14"/>
  <c r="C418" i="14"/>
  <c r="C508" i="14"/>
  <c r="C447" i="14"/>
  <c r="C565" i="14"/>
  <c r="C538" i="14"/>
  <c r="C479" i="14"/>
  <c r="C596" i="14"/>
  <c r="E115" i="9"/>
  <c r="H115" i="9"/>
  <c r="F115" i="9"/>
  <c r="F110" i="9"/>
  <c r="H110" i="9"/>
  <c r="E110" i="9"/>
  <c r="F103" i="9"/>
  <c r="H103" i="9"/>
  <c r="E103" i="9"/>
  <c r="E97" i="9"/>
  <c r="F97" i="9"/>
  <c r="H97" i="9"/>
  <c r="E91" i="9"/>
  <c r="F91" i="9"/>
  <c r="H91" i="9"/>
  <c r="E85" i="9"/>
  <c r="F85" i="9"/>
  <c r="H85" i="9"/>
  <c r="E79" i="9"/>
  <c r="F79" i="9"/>
  <c r="H79" i="9"/>
  <c r="H73" i="9"/>
  <c r="E73" i="9"/>
  <c r="F73" i="9"/>
  <c r="E66" i="9"/>
  <c r="F66" i="9"/>
  <c r="H66" i="9"/>
  <c r="E125" i="9"/>
  <c r="F125" i="9"/>
  <c r="H125" i="9"/>
  <c r="E121" i="9"/>
  <c r="F121" i="9"/>
  <c r="H121" i="9"/>
  <c r="E47" i="9"/>
  <c r="F47" i="9"/>
  <c r="H47" i="9"/>
  <c r="E40" i="9"/>
  <c r="F40" i="9"/>
  <c r="H40" i="9"/>
  <c r="E32" i="9"/>
  <c r="F32" i="9"/>
  <c r="H32" i="9"/>
  <c r="E24" i="9"/>
  <c r="F24" i="9"/>
  <c r="H24" i="9"/>
  <c r="E16" i="9"/>
  <c r="F16" i="9"/>
  <c r="H16" i="9"/>
  <c r="F114" i="9"/>
  <c r="H114" i="9"/>
  <c r="E114" i="9"/>
  <c r="F109" i="9"/>
  <c r="H109" i="9"/>
  <c r="E109" i="9"/>
  <c r="F102" i="9"/>
  <c r="H102" i="9"/>
  <c r="E102" i="9"/>
  <c r="E96" i="9"/>
  <c r="F96" i="9"/>
  <c r="H96" i="9"/>
  <c r="E90" i="9"/>
  <c r="F90" i="9"/>
  <c r="H90" i="9"/>
  <c r="E122" i="9"/>
  <c r="F122" i="9"/>
  <c r="H122" i="9"/>
  <c r="E78" i="9"/>
  <c r="F78" i="9"/>
  <c r="H78" i="9"/>
  <c r="E72" i="9"/>
  <c r="F72" i="9"/>
  <c r="H72" i="9"/>
  <c r="H65" i="9"/>
  <c r="F65" i="9"/>
  <c r="E65" i="9"/>
  <c r="H59" i="9"/>
  <c r="E59" i="9"/>
  <c r="F59" i="9"/>
  <c r="H52" i="9"/>
  <c r="F52" i="9"/>
  <c r="E52" i="9"/>
  <c r="H46" i="9"/>
  <c r="E46" i="9"/>
  <c r="F46" i="9"/>
  <c r="H39" i="9"/>
  <c r="F39" i="9"/>
  <c r="E39" i="9"/>
  <c r="H31" i="9"/>
  <c r="F31" i="9"/>
  <c r="E31" i="9"/>
  <c r="H23" i="9"/>
  <c r="F23" i="9"/>
  <c r="E23" i="9"/>
  <c r="H138" i="9"/>
  <c r="F138" i="9"/>
  <c r="E138" i="9"/>
  <c r="H108" i="9"/>
  <c r="F108" i="9"/>
  <c r="E108" i="9"/>
  <c r="H101" i="9"/>
  <c r="F101" i="9"/>
  <c r="E101" i="9"/>
  <c r="H134" i="9"/>
  <c r="E134" i="9"/>
  <c r="F134" i="9"/>
  <c r="H132" i="9"/>
  <c r="E132" i="9"/>
  <c r="F132" i="9"/>
  <c r="H84" i="9"/>
  <c r="E84" i="9"/>
  <c r="F84" i="9"/>
  <c r="H77" i="9"/>
  <c r="E77" i="9"/>
  <c r="F77" i="9"/>
  <c r="F71" i="9"/>
  <c r="H71" i="9"/>
  <c r="E71" i="9"/>
  <c r="H64" i="9"/>
  <c r="F64" i="9"/>
  <c r="E64" i="9"/>
  <c r="F58" i="9"/>
  <c r="H58" i="9"/>
  <c r="E58" i="9"/>
  <c r="F51" i="9"/>
  <c r="H51" i="9"/>
  <c r="E51" i="9"/>
  <c r="F123" i="9"/>
  <c r="H123" i="9"/>
  <c r="E123" i="9"/>
  <c r="F38" i="9"/>
  <c r="H38" i="9"/>
  <c r="E38" i="9"/>
  <c r="F30" i="9"/>
  <c r="H30" i="9"/>
  <c r="E30" i="9"/>
  <c r="F22" i="9"/>
  <c r="H22" i="9"/>
  <c r="E22" i="9"/>
  <c r="H15" i="9"/>
  <c r="F15" i="9"/>
  <c r="E15" i="9"/>
  <c r="E113" i="9"/>
  <c r="F113" i="9"/>
  <c r="H113" i="9"/>
  <c r="E107" i="9"/>
  <c r="F107" i="9"/>
  <c r="H107" i="9"/>
  <c r="E100" i="9"/>
  <c r="F100" i="9"/>
  <c r="H100" i="9"/>
  <c r="E95" i="9"/>
  <c r="F95" i="9"/>
  <c r="H95" i="9"/>
  <c r="E89" i="9"/>
  <c r="F89" i="9"/>
  <c r="H89" i="9"/>
  <c r="E83" i="9"/>
  <c r="F83" i="9"/>
  <c r="H83" i="9"/>
  <c r="E129" i="9"/>
  <c r="F129" i="9"/>
  <c r="H129" i="9"/>
  <c r="H70" i="9"/>
  <c r="E70" i="9"/>
  <c r="F70" i="9"/>
  <c r="F126" i="9"/>
  <c r="H126" i="9"/>
  <c r="E126" i="9"/>
  <c r="F57" i="9"/>
  <c r="H57" i="9"/>
  <c r="E57" i="9"/>
  <c r="F50" i="9"/>
  <c r="H50" i="9"/>
  <c r="E50" i="9"/>
  <c r="F45" i="9"/>
  <c r="H45" i="9"/>
  <c r="E45" i="9"/>
  <c r="F37" i="9"/>
  <c r="H37" i="9"/>
  <c r="E37" i="9"/>
  <c r="F29" i="9"/>
  <c r="H29" i="9"/>
  <c r="E29" i="9"/>
  <c r="F21" i="9"/>
  <c r="H21" i="9"/>
  <c r="E21" i="9"/>
  <c r="E119" i="9"/>
  <c r="F119" i="9"/>
  <c r="H119" i="9"/>
  <c r="H112" i="9"/>
  <c r="E112" i="9"/>
  <c r="F112" i="9"/>
  <c r="H106" i="9"/>
  <c r="E106" i="9"/>
  <c r="F106" i="9"/>
  <c r="H99" i="9"/>
  <c r="E99" i="9"/>
  <c r="F99" i="9"/>
  <c r="H94" i="9"/>
  <c r="E94" i="9"/>
  <c r="F94" i="9"/>
  <c r="H88" i="9"/>
  <c r="E88" i="9"/>
  <c r="F88" i="9"/>
  <c r="H82" i="9"/>
  <c r="E82" i="9"/>
  <c r="F82" i="9"/>
  <c r="H76" i="9"/>
  <c r="E76" i="9"/>
  <c r="F76" i="9"/>
  <c r="E69" i="9"/>
  <c r="F69" i="9"/>
  <c r="H69" i="9"/>
  <c r="F63" i="9"/>
  <c r="H63" i="9"/>
  <c r="E63" i="9"/>
  <c r="F56" i="9"/>
  <c r="H56" i="9"/>
  <c r="E56" i="9"/>
  <c r="F124" i="9"/>
  <c r="H124" i="9"/>
  <c r="E124" i="9"/>
  <c r="F44" i="9"/>
  <c r="H44" i="9"/>
  <c r="E44" i="9"/>
  <c r="F36" i="9"/>
  <c r="H36" i="9"/>
  <c r="E36" i="9"/>
  <c r="F28" i="9"/>
  <c r="H28" i="9"/>
  <c r="E28" i="9"/>
  <c r="F20" i="9"/>
  <c r="H20" i="9"/>
  <c r="E20" i="9"/>
  <c r="H118" i="9"/>
  <c r="E118" i="9"/>
  <c r="F118" i="9"/>
  <c r="F111" i="9"/>
  <c r="H111" i="9"/>
  <c r="E111" i="9"/>
  <c r="F105" i="9"/>
  <c r="H105" i="9"/>
  <c r="E105" i="9"/>
  <c r="E133" i="9"/>
  <c r="H133" i="9"/>
  <c r="F133" i="9"/>
  <c r="E131" i="9"/>
  <c r="H131" i="9"/>
  <c r="F131" i="9"/>
  <c r="E130" i="9"/>
  <c r="H130" i="9"/>
  <c r="F130" i="9"/>
  <c r="H75" i="9"/>
  <c r="E75" i="9"/>
  <c r="F75" i="9"/>
  <c r="H68" i="9"/>
  <c r="E68" i="9"/>
  <c r="F68" i="9"/>
  <c r="H62" i="9"/>
  <c r="F62" i="9"/>
  <c r="E62" i="9"/>
  <c r="H55" i="9"/>
  <c r="F55" i="9"/>
  <c r="E55" i="9"/>
  <c r="H49" i="9"/>
  <c r="E49" i="9"/>
  <c r="F49" i="9"/>
  <c r="H43" i="9"/>
  <c r="E43" i="9"/>
  <c r="F43" i="9"/>
  <c r="H35" i="9"/>
  <c r="F35" i="9"/>
  <c r="E35" i="9"/>
  <c r="H27" i="9"/>
  <c r="F27" i="9"/>
  <c r="E27" i="9"/>
  <c r="H19" i="9"/>
  <c r="F19" i="9"/>
  <c r="E19" i="9"/>
  <c r="H117" i="9"/>
  <c r="E117" i="9"/>
  <c r="F117" i="9"/>
  <c r="H137" i="9"/>
  <c r="F137" i="9"/>
  <c r="E137" i="9"/>
  <c r="H120" i="9"/>
  <c r="F120" i="9"/>
  <c r="E120" i="9"/>
  <c r="H135" i="9"/>
  <c r="E135" i="9"/>
  <c r="F135" i="9"/>
  <c r="H93" i="9"/>
  <c r="E93" i="9"/>
  <c r="F93" i="9"/>
  <c r="H87" i="9"/>
  <c r="E87" i="9"/>
  <c r="F87" i="9"/>
  <c r="H81" i="9"/>
  <c r="E81" i="9"/>
  <c r="F81" i="9"/>
  <c r="H74" i="9"/>
  <c r="E74" i="9"/>
  <c r="F74" i="9"/>
  <c r="H67" i="9"/>
  <c r="F67" i="9"/>
  <c r="E67" i="9"/>
  <c r="H61" i="9"/>
  <c r="F61" i="9"/>
  <c r="E61" i="9"/>
  <c r="H54" i="9"/>
  <c r="F54" i="9"/>
  <c r="E54" i="9"/>
  <c r="H42" i="9"/>
  <c r="F42" i="9"/>
  <c r="E42" i="9"/>
  <c r="H34" i="9"/>
  <c r="F34" i="9"/>
  <c r="E34" i="9"/>
  <c r="H26" i="9"/>
  <c r="F26" i="9"/>
  <c r="E26" i="9"/>
  <c r="H18" i="9"/>
  <c r="E18" i="9"/>
  <c r="F18" i="9"/>
  <c r="E116" i="9"/>
  <c r="F116" i="9"/>
  <c r="H116" i="9"/>
  <c r="F136" i="9"/>
  <c r="E136" i="9"/>
  <c r="H136" i="9"/>
  <c r="F104" i="9"/>
  <c r="E104" i="9"/>
  <c r="H104" i="9"/>
  <c r="E98" i="9"/>
  <c r="F98" i="9"/>
  <c r="H98" i="9"/>
  <c r="E92" i="9"/>
  <c r="F92" i="9"/>
  <c r="H92" i="9"/>
  <c r="E86" i="9"/>
  <c r="F86" i="9"/>
  <c r="H86" i="9"/>
  <c r="E80" i="9"/>
  <c r="F80" i="9"/>
  <c r="H80" i="9"/>
  <c r="E128" i="9"/>
  <c r="F128" i="9"/>
  <c r="H128" i="9"/>
  <c r="E127" i="9"/>
  <c r="F127" i="9"/>
  <c r="H127" i="9"/>
  <c r="E60" i="9"/>
  <c r="F60" i="9"/>
  <c r="H60" i="9"/>
  <c r="E53" i="9"/>
  <c r="F53" i="9"/>
  <c r="H53" i="9"/>
  <c r="E48" i="9"/>
  <c r="F48" i="9"/>
  <c r="H48" i="9"/>
  <c r="E41" i="9"/>
  <c r="F41" i="9"/>
  <c r="H41" i="9"/>
  <c r="E33" i="9"/>
  <c r="F33" i="9"/>
  <c r="H33" i="9"/>
  <c r="E25" i="9"/>
  <c r="F25" i="9"/>
  <c r="H25" i="9"/>
  <c r="E17" i="9"/>
  <c r="F17" i="9"/>
  <c r="H17" i="9"/>
  <c r="D21" i="10"/>
  <c r="F21" i="10" s="1"/>
  <c r="G21" i="10"/>
  <c r="D35" i="10"/>
  <c r="F35" i="10" s="1"/>
  <c r="D27" i="10"/>
  <c r="F27" i="10" s="1"/>
  <c r="G27" i="10"/>
  <c r="D20" i="10"/>
  <c r="F20" i="10" s="1"/>
  <c r="G20" i="10"/>
  <c r="D36" i="10"/>
  <c r="F36" i="10" s="1"/>
  <c r="G34" i="10"/>
  <c r="D34" i="10"/>
  <c r="F34" i="10" s="1"/>
  <c r="G26" i="10"/>
  <c r="D26" i="10"/>
  <c r="F26" i="10" s="1"/>
  <c r="G19" i="10"/>
  <c r="D19" i="10"/>
  <c r="F19" i="10" s="1"/>
  <c r="D28" i="10"/>
  <c r="F28" i="10" s="1"/>
  <c r="G28" i="10"/>
  <c r="D33" i="10"/>
  <c r="F33" i="10" s="1"/>
  <c r="G33" i="10"/>
  <c r="D25" i="10"/>
  <c r="F25" i="10" s="1"/>
  <c r="G25" i="10"/>
  <c r="G32" i="10"/>
  <c r="D32" i="10"/>
  <c r="F32" i="10" s="1"/>
  <c r="D24" i="10"/>
  <c r="F24" i="10" s="1"/>
  <c r="G24" i="10"/>
  <c r="D29" i="10"/>
  <c r="F29" i="10" s="1"/>
  <c r="G29" i="10"/>
  <c r="D31" i="10"/>
  <c r="F31" i="10" s="1"/>
  <c r="G31" i="10"/>
  <c r="D23" i="10"/>
  <c r="F23" i="10" s="1"/>
  <c r="G23" i="10"/>
  <c r="F43" i="10"/>
  <c r="G43" i="10"/>
  <c r="G18" i="10"/>
  <c r="K18" i="10" s="1"/>
  <c r="D30" i="10"/>
  <c r="F30" i="10" s="1"/>
  <c r="G30" i="10"/>
  <c r="D22" i="10"/>
  <c r="F22" i="10" s="1"/>
  <c r="G22" i="10"/>
  <c r="C684" i="14" l="1"/>
  <c r="C352" i="14"/>
  <c r="C322" i="14"/>
  <c r="C131" i="14"/>
  <c r="C106" i="14"/>
  <c r="C76" i="14"/>
  <c r="C45" i="14"/>
  <c r="C902" i="14"/>
  <c r="C842" i="14"/>
  <c r="C932" i="14"/>
  <c r="C872" i="14"/>
  <c r="C566" i="14"/>
  <c r="C623" i="14"/>
  <c r="C480" i="14"/>
  <c r="C448" i="14"/>
  <c r="C509" i="14"/>
  <c r="C419" i="14"/>
  <c r="C389" i="14"/>
  <c r="C597" i="14"/>
  <c r="C539" i="14"/>
  <c r="I43" i="10"/>
  <c r="K43" i="10"/>
  <c r="I24" i="10"/>
  <c r="K24" i="10"/>
  <c r="I33" i="10"/>
  <c r="K33" i="10"/>
  <c r="I35" i="10"/>
  <c r="K35" i="10"/>
  <c r="I34" i="10"/>
  <c r="K34" i="10"/>
  <c r="I22" i="10"/>
  <c r="K22" i="10"/>
  <c r="I32" i="10"/>
  <c r="K32" i="10"/>
  <c r="I23" i="10"/>
  <c r="K23" i="10"/>
  <c r="I21" i="10"/>
  <c r="K21" i="10"/>
  <c r="I31" i="10"/>
  <c r="K31" i="10"/>
  <c r="I20" i="10"/>
  <c r="K20" i="10"/>
  <c r="I28" i="10"/>
  <c r="K28" i="10"/>
  <c r="I30" i="10"/>
  <c r="K30" i="10"/>
  <c r="I19" i="10"/>
  <c r="K19" i="10"/>
  <c r="I36" i="10"/>
  <c r="K36" i="10"/>
  <c r="I29" i="10"/>
  <c r="K29" i="10"/>
  <c r="I25" i="10"/>
  <c r="K25" i="10"/>
  <c r="I27" i="10"/>
  <c r="K27" i="10"/>
  <c r="I26" i="10"/>
  <c r="K26" i="10"/>
  <c r="L15" i="9"/>
  <c r="J60" i="9"/>
  <c r="L60" i="9"/>
  <c r="J136" i="9"/>
  <c r="L136" i="9"/>
  <c r="J18" i="9"/>
  <c r="L18" i="9"/>
  <c r="J61" i="9"/>
  <c r="L61" i="9"/>
  <c r="J137" i="9"/>
  <c r="L137" i="9"/>
  <c r="J62" i="9"/>
  <c r="L62" i="9"/>
  <c r="J130" i="9"/>
  <c r="L130" i="9"/>
  <c r="J28" i="9"/>
  <c r="L28" i="9"/>
  <c r="J112" i="9"/>
  <c r="L112" i="9"/>
  <c r="J29" i="9"/>
  <c r="L29" i="9"/>
  <c r="J100" i="9"/>
  <c r="L100" i="9"/>
  <c r="J30" i="9"/>
  <c r="L30" i="9"/>
  <c r="J64" i="9"/>
  <c r="L64" i="9"/>
  <c r="J138" i="9"/>
  <c r="L138" i="9"/>
  <c r="J125" i="9"/>
  <c r="L125" i="9"/>
  <c r="J73" i="9"/>
  <c r="L73" i="9"/>
  <c r="J67" i="9"/>
  <c r="L67" i="9"/>
  <c r="J107" i="9"/>
  <c r="L107" i="9"/>
  <c r="J25" i="9"/>
  <c r="L25" i="9"/>
  <c r="J80" i="9"/>
  <c r="L80" i="9"/>
  <c r="J42" i="9"/>
  <c r="L42" i="9"/>
  <c r="J81" i="9"/>
  <c r="L81" i="9"/>
  <c r="J27" i="9"/>
  <c r="L27" i="9"/>
  <c r="J124" i="9"/>
  <c r="L124" i="9"/>
  <c r="J69" i="9"/>
  <c r="L69" i="9"/>
  <c r="J82" i="9"/>
  <c r="L82" i="9"/>
  <c r="J119" i="9"/>
  <c r="L119" i="9"/>
  <c r="J50" i="9"/>
  <c r="L50" i="9"/>
  <c r="J51" i="9"/>
  <c r="L51" i="9"/>
  <c r="J84" i="9"/>
  <c r="L84" i="9"/>
  <c r="J39" i="9"/>
  <c r="L39" i="9"/>
  <c r="J78" i="9"/>
  <c r="L78" i="9"/>
  <c r="J109" i="9"/>
  <c r="L109" i="9"/>
  <c r="J24" i="9"/>
  <c r="L24" i="9"/>
  <c r="J79" i="9"/>
  <c r="L79" i="9"/>
  <c r="J110" i="9"/>
  <c r="L110" i="9"/>
  <c r="J48" i="9"/>
  <c r="L48" i="9"/>
  <c r="J98" i="9"/>
  <c r="L98" i="9"/>
  <c r="J135" i="9"/>
  <c r="L135" i="9"/>
  <c r="J49" i="9"/>
  <c r="L49" i="9"/>
  <c r="J99" i="9"/>
  <c r="L99" i="9"/>
  <c r="J89" i="9"/>
  <c r="L89" i="9"/>
  <c r="J71" i="9"/>
  <c r="L71" i="9"/>
  <c r="J101" i="9"/>
  <c r="L101" i="9"/>
  <c r="J59" i="9"/>
  <c r="L59" i="9"/>
  <c r="J96" i="9"/>
  <c r="L96" i="9"/>
  <c r="J47" i="9"/>
  <c r="L47" i="9"/>
  <c r="J97" i="9"/>
  <c r="L97" i="9"/>
  <c r="G115" i="9"/>
  <c r="J117" i="9"/>
  <c r="L117" i="9"/>
  <c r="J68" i="9"/>
  <c r="L68" i="9"/>
  <c r="J36" i="9"/>
  <c r="L36" i="9"/>
  <c r="J37" i="9"/>
  <c r="L37" i="9"/>
  <c r="J38" i="9"/>
  <c r="L38" i="9"/>
  <c r="J23" i="9"/>
  <c r="L23" i="9"/>
  <c r="J66" i="9"/>
  <c r="L66" i="9"/>
  <c r="J33" i="9"/>
  <c r="L33" i="9"/>
  <c r="J86" i="9"/>
  <c r="L86" i="9"/>
  <c r="J87" i="9"/>
  <c r="L87" i="9"/>
  <c r="J35" i="9"/>
  <c r="L35" i="9"/>
  <c r="J105" i="9"/>
  <c r="L105" i="9"/>
  <c r="J56" i="9"/>
  <c r="L56" i="9"/>
  <c r="J88" i="9"/>
  <c r="L88" i="9"/>
  <c r="J57" i="9"/>
  <c r="L57" i="9"/>
  <c r="J129" i="9"/>
  <c r="L129" i="9"/>
  <c r="J58" i="9"/>
  <c r="L58" i="9"/>
  <c r="J132" i="9"/>
  <c r="L132" i="9"/>
  <c r="J46" i="9"/>
  <c r="L46" i="9"/>
  <c r="J122" i="9"/>
  <c r="L122" i="9"/>
  <c r="J114" i="9"/>
  <c r="L114" i="9"/>
  <c r="J32" i="9"/>
  <c r="L32" i="9"/>
  <c r="J85" i="9"/>
  <c r="L85" i="9"/>
  <c r="J115" i="9"/>
  <c r="L115" i="9"/>
  <c r="J116" i="9"/>
  <c r="L116" i="9"/>
  <c r="J131" i="9"/>
  <c r="L131" i="9"/>
  <c r="J118" i="9"/>
  <c r="L118" i="9"/>
  <c r="J53" i="9"/>
  <c r="L53" i="9"/>
  <c r="J104" i="9"/>
  <c r="L104" i="9"/>
  <c r="J54" i="9"/>
  <c r="L54" i="9"/>
  <c r="J120" i="9"/>
  <c r="L120" i="9"/>
  <c r="J55" i="9"/>
  <c r="L55" i="9"/>
  <c r="J20" i="9"/>
  <c r="L20" i="9"/>
  <c r="J106" i="9"/>
  <c r="L106" i="9"/>
  <c r="J21" i="9"/>
  <c r="L21" i="9"/>
  <c r="J95" i="9"/>
  <c r="L95" i="9"/>
  <c r="J22" i="9"/>
  <c r="L22" i="9"/>
  <c r="J108" i="9"/>
  <c r="L108" i="9"/>
  <c r="J65" i="9"/>
  <c r="L65" i="9"/>
  <c r="J121" i="9"/>
  <c r="L121" i="9"/>
  <c r="J127" i="9"/>
  <c r="L127" i="9"/>
  <c r="J70" i="9"/>
  <c r="L70" i="9"/>
  <c r="J128" i="9"/>
  <c r="L128" i="9"/>
  <c r="J34" i="9"/>
  <c r="L34" i="9"/>
  <c r="J74" i="9"/>
  <c r="L74" i="9"/>
  <c r="J19" i="9"/>
  <c r="L19" i="9"/>
  <c r="J75" i="9"/>
  <c r="L75" i="9"/>
  <c r="J133" i="9"/>
  <c r="L133" i="9"/>
  <c r="J44" i="9"/>
  <c r="L44" i="9"/>
  <c r="J76" i="9"/>
  <c r="L76" i="9"/>
  <c r="J45" i="9"/>
  <c r="L45" i="9"/>
  <c r="J113" i="9"/>
  <c r="L113" i="9"/>
  <c r="J123" i="9"/>
  <c r="L123" i="9"/>
  <c r="J77" i="9"/>
  <c r="L77" i="9"/>
  <c r="J31" i="9"/>
  <c r="L31" i="9"/>
  <c r="J72" i="9"/>
  <c r="L72" i="9"/>
  <c r="J102" i="9"/>
  <c r="L102" i="9"/>
  <c r="J16" i="9"/>
  <c r="L16" i="9"/>
  <c r="J103" i="9"/>
  <c r="L103" i="9"/>
  <c r="J26" i="9"/>
  <c r="L26" i="9"/>
  <c r="J17" i="9"/>
  <c r="L17" i="9"/>
  <c r="J41" i="9"/>
  <c r="L41" i="9"/>
  <c r="J92" i="9"/>
  <c r="L92" i="9"/>
  <c r="J93" i="9"/>
  <c r="L93" i="9"/>
  <c r="J43" i="9"/>
  <c r="L43" i="9"/>
  <c r="J111" i="9"/>
  <c r="L111" i="9"/>
  <c r="J63" i="9"/>
  <c r="L63" i="9"/>
  <c r="J94" i="9"/>
  <c r="L94" i="9"/>
  <c r="J126" i="9"/>
  <c r="L126" i="9"/>
  <c r="J83" i="9"/>
  <c r="L83" i="9"/>
  <c r="J134" i="9"/>
  <c r="L134" i="9"/>
  <c r="J52" i="9"/>
  <c r="L52" i="9"/>
  <c r="J90" i="9"/>
  <c r="L90" i="9"/>
  <c r="J40" i="9"/>
  <c r="L40" i="9"/>
  <c r="J91" i="9"/>
  <c r="L91" i="9"/>
  <c r="G104" i="9"/>
  <c r="G124" i="9"/>
  <c r="G50" i="9"/>
  <c r="G125" i="9"/>
  <c r="G116" i="9"/>
  <c r="G105" i="9"/>
  <c r="G127" i="9"/>
  <c r="G87" i="9"/>
  <c r="G56" i="9"/>
  <c r="G119" i="9"/>
  <c r="G57" i="9"/>
  <c r="G58" i="9"/>
  <c r="G78" i="9"/>
  <c r="G24" i="9"/>
  <c r="F139" i="9"/>
  <c r="E139" i="9"/>
  <c r="H139" i="9"/>
  <c r="G60" i="9"/>
  <c r="G28" i="9"/>
  <c r="G29" i="9"/>
  <c r="G30" i="9"/>
  <c r="G81" i="9"/>
  <c r="G99" i="9"/>
  <c r="G113" i="9"/>
  <c r="G51" i="9"/>
  <c r="G84" i="9"/>
  <c r="G101" i="9"/>
  <c r="G72" i="9"/>
  <c r="G109" i="9"/>
  <c r="G16" i="9"/>
  <c r="G91" i="9"/>
  <c r="G132" i="9"/>
  <c r="G46" i="9"/>
  <c r="G97" i="9"/>
  <c r="G52" i="9"/>
  <c r="G85" i="9"/>
  <c r="G17" i="9"/>
  <c r="G128" i="9"/>
  <c r="G61" i="9"/>
  <c r="G93" i="9"/>
  <c r="G137" i="9"/>
  <c r="G43" i="9"/>
  <c r="G62" i="9"/>
  <c r="G112" i="9"/>
  <c r="G64" i="9"/>
  <c r="G138" i="9"/>
  <c r="G73" i="9"/>
  <c r="G48" i="9"/>
  <c r="G98" i="9"/>
  <c r="G68" i="9"/>
  <c r="G118" i="9"/>
  <c r="G36" i="9"/>
  <c r="G37" i="9"/>
  <c r="G70" i="9"/>
  <c r="G100" i="9"/>
  <c r="G38" i="9"/>
  <c r="G54" i="9"/>
  <c r="G120" i="9"/>
  <c r="G55" i="9"/>
  <c r="G106" i="9"/>
  <c r="G108" i="9"/>
  <c r="G65" i="9"/>
  <c r="G75" i="9"/>
  <c r="G44" i="9"/>
  <c r="G45" i="9"/>
  <c r="G107" i="9"/>
  <c r="G123" i="9"/>
  <c r="G77" i="9"/>
  <c r="G102" i="9"/>
  <c r="G66" i="9"/>
  <c r="G111" i="9"/>
  <c r="G63" i="9"/>
  <c r="G126" i="9"/>
  <c r="G129" i="9"/>
  <c r="G134" i="9"/>
  <c r="G122" i="9"/>
  <c r="G32" i="9"/>
  <c r="G41" i="9"/>
  <c r="G92" i="9"/>
  <c r="G136" i="9"/>
  <c r="G26" i="9"/>
  <c r="G27" i="9"/>
  <c r="G133" i="9"/>
  <c r="G82" i="9"/>
  <c r="G95" i="9"/>
  <c r="G39" i="9"/>
  <c r="G121" i="9"/>
  <c r="G103" i="9"/>
  <c r="G25" i="9"/>
  <c r="G80" i="9"/>
  <c r="G67" i="9"/>
  <c r="G135" i="9"/>
  <c r="G117" i="9"/>
  <c r="G49" i="9"/>
  <c r="G130" i="9"/>
  <c r="G83" i="9"/>
  <c r="G71" i="9"/>
  <c r="G59" i="9"/>
  <c r="G90" i="9"/>
  <c r="G40" i="9"/>
  <c r="G34" i="9"/>
  <c r="G35" i="9"/>
  <c r="G69" i="9"/>
  <c r="G88" i="9"/>
  <c r="G15" i="9"/>
  <c r="G23" i="9"/>
  <c r="G79" i="9"/>
  <c r="G110" i="9"/>
  <c r="G33" i="9"/>
  <c r="G86" i="9"/>
  <c r="G19" i="9"/>
  <c r="G131" i="9"/>
  <c r="G20" i="9"/>
  <c r="G76" i="9"/>
  <c r="G21" i="9"/>
  <c r="G89" i="9"/>
  <c r="G22" i="9"/>
  <c r="G31" i="9"/>
  <c r="G96" i="9"/>
  <c r="G47" i="9"/>
  <c r="J15" i="9"/>
  <c r="G53" i="9"/>
  <c r="G18" i="9"/>
  <c r="G42" i="9"/>
  <c r="G74" i="9"/>
  <c r="G94" i="9"/>
  <c r="G114" i="9"/>
  <c r="F18" i="10"/>
  <c r="F44" i="10" s="1"/>
  <c r="D44" i="10"/>
  <c r="I18" i="10"/>
  <c r="G44" i="10"/>
  <c r="C715" i="14" l="1"/>
  <c r="C323" i="14"/>
  <c r="C353" i="14"/>
  <c r="C46" i="14"/>
  <c r="C77" i="14"/>
  <c r="C107" i="14"/>
  <c r="C132" i="14"/>
  <c r="C158" i="14"/>
  <c r="C873" i="14"/>
  <c r="C933" i="14"/>
  <c r="C903" i="14"/>
  <c r="C843" i="14"/>
  <c r="C540" i="14"/>
  <c r="C510" i="14"/>
  <c r="C598" i="14"/>
  <c r="C449" i="14"/>
  <c r="C390" i="14"/>
  <c r="C481" i="14"/>
  <c r="C567" i="14"/>
  <c r="C420" i="14"/>
  <c r="C624" i="14"/>
  <c r="C324" i="14" l="1"/>
  <c r="C354" i="14"/>
  <c r="C108" i="14"/>
  <c r="C189" i="14"/>
  <c r="C159" i="14"/>
  <c r="C78" i="14"/>
  <c r="C133" i="14"/>
  <c r="C47" i="14"/>
  <c r="C904" i="14"/>
  <c r="C934" i="14"/>
  <c r="C874" i="14"/>
  <c r="C844" i="14"/>
  <c r="C625" i="14"/>
  <c r="C568" i="14"/>
  <c r="C421" i="14"/>
  <c r="C654" i="14"/>
  <c r="C482" i="14"/>
  <c r="C391" i="14"/>
  <c r="C450" i="14"/>
  <c r="C511" i="14"/>
  <c r="C599" i="14"/>
  <c r="C541" i="14"/>
  <c r="C325" i="14" l="1"/>
  <c r="C355" i="14"/>
  <c r="C134" i="14"/>
  <c r="C109" i="14"/>
  <c r="C79" i="14"/>
  <c r="C160" i="14"/>
  <c r="C48" i="14"/>
  <c r="C190" i="14"/>
  <c r="C875" i="14"/>
  <c r="C935" i="14"/>
  <c r="C905" i="14"/>
  <c r="C845" i="14"/>
  <c r="C392" i="14"/>
  <c r="C542" i="14"/>
  <c r="C483" i="14"/>
  <c r="C600" i="14"/>
  <c r="C512" i="14"/>
  <c r="C655" i="14"/>
  <c r="C569" i="14"/>
  <c r="C451" i="14"/>
  <c r="C422" i="14"/>
  <c r="C626" i="14"/>
  <c r="C326" i="14" l="1"/>
  <c r="C356" i="14"/>
  <c r="C49" i="14"/>
  <c r="C135" i="14"/>
  <c r="C161" i="14"/>
  <c r="C80" i="14"/>
  <c r="C191" i="14"/>
  <c r="C110" i="14"/>
  <c r="C846" i="14"/>
  <c r="C906" i="14"/>
  <c r="C936" i="14"/>
  <c r="C876" i="14"/>
  <c r="C656" i="14"/>
  <c r="C543" i="14"/>
  <c r="C452" i="14"/>
  <c r="C484" i="14"/>
  <c r="C627" i="14"/>
  <c r="C513" i="14"/>
  <c r="C423" i="14"/>
  <c r="C570" i="14"/>
  <c r="C601" i="14"/>
  <c r="C393" i="14"/>
  <c r="C327" i="14" l="1"/>
  <c r="C357" i="14"/>
  <c r="C136" i="14"/>
  <c r="C111" i="14"/>
  <c r="C81" i="14"/>
  <c r="C162" i="14"/>
  <c r="C192" i="14"/>
  <c r="C50" i="14"/>
  <c r="C877" i="14"/>
  <c r="C937" i="14"/>
  <c r="C907" i="14"/>
  <c r="C847" i="14"/>
  <c r="C394" i="14"/>
  <c r="C424" i="14"/>
  <c r="C657" i="14"/>
  <c r="C453" i="14"/>
  <c r="C571" i="14"/>
  <c r="C628" i="14"/>
  <c r="C602" i="14"/>
  <c r="C514" i="14"/>
  <c r="C544" i="14"/>
  <c r="C485" i="14"/>
  <c r="K44" i="10"/>
  <c r="I44" i="10"/>
  <c r="L139" i="9"/>
  <c r="J139" i="9"/>
  <c r="G139" i="9"/>
  <c r="C746" i="14" l="1"/>
  <c r="C358" i="14"/>
  <c r="C328" i="14"/>
  <c r="C163" i="14"/>
  <c r="C82" i="14"/>
  <c r="C51" i="14"/>
  <c r="C112" i="14"/>
  <c r="C193" i="14"/>
  <c r="C137" i="14"/>
  <c r="C908" i="14"/>
  <c r="C938" i="14"/>
  <c r="C848" i="14"/>
  <c r="C878" i="14"/>
  <c r="C515" i="14"/>
  <c r="C629" i="14"/>
  <c r="C486" i="14"/>
  <c r="C603" i="14"/>
  <c r="C572" i="14"/>
  <c r="C454" i="14"/>
  <c r="C425" i="14"/>
  <c r="C545" i="14"/>
  <c r="C658" i="14"/>
  <c r="C395" i="14"/>
  <c r="C329" i="14" l="1"/>
  <c r="C359" i="14"/>
  <c r="C194" i="14"/>
  <c r="C164" i="14"/>
  <c r="C113" i="14"/>
  <c r="C52" i="14"/>
  <c r="C138" i="14"/>
  <c r="C83" i="14"/>
  <c r="C939" i="14"/>
  <c r="C909" i="14"/>
  <c r="C879" i="14"/>
  <c r="C849" i="14"/>
  <c r="C455" i="14"/>
  <c r="C573" i="14"/>
  <c r="C396" i="14"/>
  <c r="C546" i="14"/>
  <c r="C604" i="14"/>
  <c r="C630" i="14"/>
  <c r="C685" i="14"/>
  <c r="C659" i="14"/>
  <c r="C426" i="14"/>
  <c r="C487" i="14"/>
  <c r="C516" i="14"/>
  <c r="C360" i="14" l="1"/>
  <c r="C330" i="14"/>
  <c r="C53" i="14"/>
  <c r="C114" i="14"/>
  <c r="C165" i="14"/>
  <c r="C84" i="14"/>
  <c r="C139" i="14"/>
  <c r="C195" i="14"/>
  <c r="C850" i="14"/>
  <c r="C880" i="14"/>
  <c r="C910" i="14"/>
  <c r="C940" i="14"/>
  <c r="C660" i="14"/>
  <c r="C605" i="14"/>
  <c r="C517" i="14"/>
  <c r="C547" i="14"/>
  <c r="C574" i="14"/>
  <c r="C488" i="14"/>
  <c r="C686" i="14"/>
  <c r="C397" i="14"/>
  <c r="C456" i="14"/>
  <c r="C427" i="14"/>
  <c r="C631" i="14"/>
  <c r="C331" i="14" l="1"/>
  <c r="C361" i="14"/>
  <c r="C196" i="14"/>
  <c r="C140" i="14"/>
  <c r="C54" i="14"/>
  <c r="C85" i="14"/>
  <c r="C166" i="14"/>
  <c r="C115" i="14"/>
  <c r="C911" i="14"/>
  <c r="C881" i="14"/>
  <c r="C941" i="14"/>
  <c r="C851" i="14"/>
  <c r="C632" i="14"/>
  <c r="C398" i="14"/>
  <c r="C575" i="14"/>
  <c r="C661" i="14"/>
  <c r="C687" i="14"/>
  <c r="C548" i="14"/>
  <c r="C428" i="14"/>
  <c r="C457" i="14"/>
  <c r="C489" i="14"/>
  <c r="C518" i="14"/>
  <c r="C606" i="14"/>
  <c r="C362" i="14" l="1"/>
  <c r="C332" i="14"/>
  <c r="C167" i="14"/>
  <c r="C197" i="14"/>
  <c r="C116" i="14"/>
  <c r="C86" i="14"/>
  <c r="C55" i="14"/>
  <c r="C141" i="14"/>
  <c r="C942" i="14"/>
  <c r="C882" i="14"/>
  <c r="C912" i="14"/>
  <c r="C852" i="14"/>
  <c r="C607" i="14"/>
  <c r="C688" i="14"/>
  <c r="C399" i="14"/>
  <c r="C549" i="14"/>
  <c r="C519" i="14"/>
  <c r="C490" i="14"/>
  <c r="C429" i="14"/>
  <c r="C662" i="14"/>
  <c r="C633" i="14"/>
  <c r="C458" i="14"/>
  <c r="C576" i="14"/>
  <c r="C777" i="14" l="1"/>
  <c r="C333" i="14"/>
  <c r="C363" i="14"/>
  <c r="C56" i="14"/>
  <c r="C168" i="14"/>
  <c r="C87" i="14"/>
  <c r="C117" i="14"/>
  <c r="C142" i="14"/>
  <c r="C198" i="14"/>
  <c r="C853" i="14"/>
  <c r="C913" i="14"/>
  <c r="C883" i="14"/>
  <c r="C943" i="14"/>
  <c r="C663" i="14"/>
  <c r="C689" i="14"/>
  <c r="C577" i="14"/>
  <c r="C459" i="14"/>
  <c r="C430" i="14"/>
  <c r="C608" i="14"/>
  <c r="C491" i="14"/>
  <c r="C550" i="14"/>
  <c r="C634" i="14"/>
  <c r="C520" i="14"/>
  <c r="C400" i="14"/>
  <c r="C808" i="14" l="1"/>
  <c r="C364" i="14"/>
  <c r="C334" i="14"/>
  <c r="C199" i="14"/>
  <c r="C118" i="14"/>
  <c r="C88" i="14"/>
  <c r="C169" i="14"/>
  <c r="C143" i="14"/>
  <c r="C57" i="14"/>
  <c r="C884" i="14"/>
  <c r="C716" i="14"/>
  <c r="C944" i="14"/>
  <c r="C914" i="14"/>
  <c r="C854" i="14"/>
  <c r="C401" i="14"/>
  <c r="C717" i="14"/>
  <c r="C431" i="14"/>
  <c r="C521" i="14"/>
  <c r="C460" i="14"/>
  <c r="C664" i="14"/>
  <c r="C635" i="14"/>
  <c r="C551" i="14"/>
  <c r="C609" i="14"/>
  <c r="C578" i="14"/>
  <c r="C492" i="14"/>
  <c r="C690" i="14"/>
  <c r="C718" i="14" l="1"/>
  <c r="C335" i="14"/>
  <c r="C365" i="14"/>
  <c r="C170" i="14"/>
  <c r="C89" i="14"/>
  <c r="C58" i="14"/>
  <c r="C119" i="14"/>
  <c r="C144" i="14"/>
  <c r="C200" i="14"/>
  <c r="C747" i="14"/>
  <c r="C945" i="14"/>
  <c r="C915" i="14"/>
  <c r="C855" i="14"/>
  <c r="C885" i="14"/>
  <c r="C636" i="14"/>
  <c r="C432" i="14"/>
  <c r="C493" i="14"/>
  <c r="C579" i="14"/>
  <c r="C665" i="14"/>
  <c r="C522" i="14"/>
  <c r="C610" i="14"/>
  <c r="C461" i="14"/>
  <c r="C748" i="14"/>
  <c r="C691" i="14"/>
  <c r="C552" i="14"/>
  <c r="C402" i="14"/>
  <c r="C778" i="14" l="1"/>
  <c r="C366" i="14"/>
  <c r="C336" i="14"/>
  <c r="C201" i="14"/>
  <c r="C90" i="14"/>
  <c r="C120" i="14"/>
  <c r="C59" i="14"/>
  <c r="C145" i="14"/>
  <c r="C171" i="14"/>
  <c r="C856" i="14"/>
  <c r="C916" i="14"/>
  <c r="C886" i="14"/>
  <c r="C946" i="14"/>
  <c r="C553" i="14"/>
  <c r="C666" i="14"/>
  <c r="C403" i="14"/>
  <c r="C580" i="14"/>
  <c r="C637" i="14"/>
  <c r="C692" i="14"/>
  <c r="C462" i="14"/>
  <c r="C494" i="14"/>
  <c r="C611" i="14"/>
  <c r="C523" i="14"/>
  <c r="C433" i="14"/>
  <c r="C749" i="14" l="1"/>
  <c r="C719" i="14"/>
  <c r="C404" i="14"/>
  <c r="C337" i="14"/>
  <c r="C367" i="14"/>
  <c r="C60" i="14"/>
  <c r="C121" i="14"/>
  <c r="C172" i="14"/>
  <c r="C91" i="14"/>
  <c r="C146" i="14"/>
  <c r="C202" i="14"/>
  <c r="C779" i="14"/>
  <c r="C947" i="14"/>
  <c r="C887" i="14"/>
  <c r="C917" i="14"/>
  <c r="C857" i="14"/>
  <c r="C434" i="14"/>
  <c r="C463" i="14"/>
  <c r="C495" i="14"/>
  <c r="C667" i="14"/>
  <c r="C638" i="14"/>
  <c r="C581" i="14"/>
  <c r="C720" i="14"/>
  <c r="C809" i="14"/>
  <c r="C524" i="14"/>
  <c r="C693" i="14"/>
  <c r="C554" i="14"/>
  <c r="C612" i="14" l="1"/>
  <c r="C750" i="14"/>
  <c r="C780" i="14"/>
  <c r="C435" i="14"/>
  <c r="C368" i="14"/>
  <c r="C338" i="14"/>
  <c r="C92" i="14"/>
  <c r="C173" i="14"/>
  <c r="C203" i="14"/>
  <c r="C122" i="14"/>
  <c r="C147" i="14"/>
  <c r="C61" i="14"/>
  <c r="C918" i="14"/>
  <c r="C888" i="14"/>
  <c r="C858" i="14"/>
  <c r="C948" i="14"/>
  <c r="C555" i="14"/>
  <c r="C721" i="14"/>
  <c r="C639" i="14"/>
  <c r="C668" i="14"/>
  <c r="C525" i="14"/>
  <c r="C582" i="14"/>
  <c r="C751" i="14"/>
  <c r="C464" i="14"/>
  <c r="C810" i="14"/>
  <c r="C694" i="14"/>
  <c r="C496" i="14"/>
  <c r="C613" i="14"/>
  <c r="C781" i="14" l="1"/>
  <c r="C497" i="14"/>
  <c r="C339" i="14"/>
  <c r="C369" i="14"/>
  <c r="C204" i="14"/>
  <c r="C148" i="14"/>
  <c r="C93" i="14"/>
  <c r="C123" i="14"/>
  <c r="C62" i="14"/>
  <c r="C174" i="14"/>
  <c r="C949" i="14"/>
  <c r="C859" i="14"/>
  <c r="C889" i="14"/>
  <c r="C919" i="14"/>
  <c r="C583" i="14"/>
  <c r="C640" i="14"/>
  <c r="C782" i="14"/>
  <c r="C465" i="14"/>
  <c r="C526" i="14"/>
  <c r="C722" i="14"/>
  <c r="C752" i="14"/>
  <c r="C695" i="14"/>
  <c r="C811" i="14"/>
  <c r="C669" i="14"/>
  <c r="C556" i="14"/>
  <c r="C614" i="14" l="1"/>
  <c r="C94" i="14"/>
  <c r="C466" i="14"/>
  <c r="C63" i="14"/>
  <c r="C370" i="14"/>
  <c r="C340" i="14"/>
  <c r="C124" i="14"/>
  <c r="C175" i="14"/>
  <c r="C149" i="14"/>
  <c r="C205" i="14"/>
  <c r="C890" i="14"/>
  <c r="C860" i="14"/>
  <c r="C920" i="14"/>
  <c r="C950" i="14"/>
  <c r="C670" i="14"/>
  <c r="C783" i="14"/>
  <c r="C584" i="14"/>
  <c r="C615" i="14"/>
  <c r="C723" i="14"/>
  <c r="C812" i="14"/>
  <c r="C753" i="14"/>
  <c r="C527" i="14"/>
  <c r="C557" i="14"/>
  <c r="C696" i="14"/>
  <c r="C641" i="14"/>
  <c r="C125" i="14" l="1"/>
  <c r="C528" i="14"/>
  <c r="C341" i="14"/>
  <c r="C371" i="14"/>
  <c r="C206" i="14"/>
  <c r="C150" i="14"/>
  <c r="C176" i="14"/>
  <c r="C951" i="14"/>
  <c r="C921" i="14"/>
  <c r="C861" i="14"/>
  <c r="C891" i="14"/>
  <c r="C697" i="14"/>
  <c r="C754" i="14"/>
  <c r="C585" i="14"/>
  <c r="C558" i="14"/>
  <c r="C813" i="14"/>
  <c r="C724" i="14"/>
  <c r="C671" i="14"/>
  <c r="C642" i="14"/>
  <c r="C616" i="14"/>
  <c r="C784" i="14"/>
  <c r="C559" i="14" l="1"/>
  <c r="C342" i="14"/>
  <c r="C373" i="14"/>
  <c r="C372" i="14"/>
  <c r="C207" i="14"/>
  <c r="C177" i="14"/>
  <c r="C151" i="14"/>
  <c r="C892" i="14"/>
  <c r="C862" i="14"/>
  <c r="C922" i="14"/>
  <c r="C952" i="14"/>
  <c r="C785" i="14"/>
  <c r="C725" i="14"/>
  <c r="C755" i="14"/>
  <c r="C643" i="14"/>
  <c r="C617" i="14"/>
  <c r="C814" i="14"/>
  <c r="C672" i="14"/>
  <c r="C586" i="14"/>
  <c r="C698" i="14"/>
  <c r="C152" i="14" l="1"/>
  <c r="C178" i="14"/>
  <c r="C208" i="14"/>
  <c r="C953" i="14"/>
  <c r="C893" i="14"/>
  <c r="C923" i="14"/>
  <c r="C863" i="14"/>
  <c r="C815" i="14"/>
  <c r="C618" i="14"/>
  <c r="C786" i="14"/>
  <c r="C756" i="14"/>
  <c r="C587" i="14"/>
  <c r="C673" i="14"/>
  <c r="C644" i="14"/>
  <c r="C699" i="14"/>
  <c r="C726" i="14"/>
  <c r="C153" i="14" l="1"/>
  <c r="C209" i="14"/>
  <c r="C179" i="14"/>
  <c r="C864" i="14"/>
  <c r="C954" i="14"/>
  <c r="C924" i="14"/>
  <c r="C894" i="14"/>
  <c r="C757" i="14"/>
  <c r="C816" i="14"/>
  <c r="C700" i="14"/>
  <c r="C588" i="14"/>
  <c r="C619" i="14"/>
  <c r="C645" i="14"/>
  <c r="C674" i="14"/>
  <c r="C787" i="14"/>
  <c r="C727" i="14" l="1"/>
  <c r="C154" i="14"/>
  <c r="C180" i="14"/>
  <c r="C210" i="14"/>
  <c r="C925" i="14"/>
  <c r="C955" i="14"/>
  <c r="C895" i="14"/>
  <c r="C865" i="14"/>
  <c r="C788" i="14"/>
  <c r="C675" i="14"/>
  <c r="C701" i="14"/>
  <c r="C728" i="14"/>
  <c r="C620" i="14"/>
  <c r="C817" i="14"/>
  <c r="C589" i="14"/>
  <c r="C646" i="14"/>
  <c r="C758" i="14"/>
  <c r="C590" i="14" l="1"/>
  <c r="C621" i="14"/>
  <c r="C211" i="14"/>
  <c r="C181" i="14"/>
  <c r="C155" i="14"/>
  <c r="C866" i="14"/>
  <c r="C926" i="14"/>
  <c r="C896" i="14"/>
  <c r="C956" i="14"/>
  <c r="C647" i="14"/>
  <c r="C702" i="14"/>
  <c r="C759" i="14"/>
  <c r="C676" i="14"/>
  <c r="C818" i="14"/>
  <c r="C729" i="14"/>
  <c r="C789" i="14"/>
  <c r="C790" i="14" l="1"/>
  <c r="C156" i="14"/>
  <c r="C182" i="14"/>
  <c r="C212" i="14"/>
  <c r="C957" i="14"/>
  <c r="C897" i="14"/>
  <c r="C927" i="14"/>
  <c r="C867" i="14"/>
  <c r="C677" i="14"/>
  <c r="C703" i="14"/>
  <c r="C730" i="14"/>
  <c r="C760" i="14"/>
  <c r="C648" i="14"/>
  <c r="C819" i="14"/>
  <c r="C183" i="14" l="1"/>
  <c r="C213" i="14"/>
  <c r="C898" i="14"/>
  <c r="C958" i="14"/>
  <c r="C868" i="14"/>
  <c r="C928" i="14"/>
  <c r="C649" i="14"/>
  <c r="C678" i="14"/>
  <c r="C761" i="14"/>
  <c r="C820" i="14"/>
  <c r="C731" i="14"/>
  <c r="C791" i="14"/>
  <c r="C704" i="14"/>
  <c r="C869" i="14" l="1"/>
  <c r="C214" i="14"/>
  <c r="C184" i="14"/>
  <c r="C899" i="14"/>
  <c r="C959" i="14"/>
  <c r="C929" i="14"/>
  <c r="C705" i="14"/>
  <c r="C821" i="14"/>
  <c r="C650" i="14"/>
  <c r="C792" i="14"/>
  <c r="C762" i="14"/>
  <c r="C732" i="14"/>
  <c r="C679" i="14"/>
  <c r="C900" i="14" l="1"/>
  <c r="C185" i="14"/>
  <c r="C215" i="14"/>
  <c r="C960" i="14"/>
  <c r="C930" i="14"/>
  <c r="C793" i="14"/>
  <c r="C733" i="14"/>
  <c r="C822" i="14"/>
  <c r="C763" i="14"/>
  <c r="C706" i="14"/>
  <c r="C680" i="14"/>
  <c r="C651" i="14"/>
  <c r="C931" i="14" l="1"/>
  <c r="C652" i="14"/>
  <c r="C216" i="14"/>
  <c r="C186" i="14"/>
  <c r="C961" i="14"/>
  <c r="C681" i="14"/>
  <c r="C734" i="14"/>
  <c r="C707" i="14"/>
  <c r="C764" i="14"/>
  <c r="C823" i="14"/>
  <c r="C794" i="14" l="1"/>
  <c r="C962" i="14"/>
  <c r="C187" i="14"/>
  <c r="C217" i="14"/>
  <c r="C824" i="14"/>
  <c r="C735" i="14"/>
  <c r="C708" i="14"/>
  <c r="C765" i="14"/>
  <c r="C682" i="14"/>
  <c r="C795" i="14"/>
  <c r="C218" i="14" l="1"/>
  <c r="C683" i="14"/>
  <c r="C796" i="14"/>
  <c r="C736" i="14"/>
  <c r="C825" i="14"/>
  <c r="C766" i="14"/>
  <c r="C709" i="14"/>
  <c r="C767" i="14" l="1"/>
  <c r="C826" i="14"/>
  <c r="C710" i="14"/>
  <c r="C737" i="14"/>
  <c r="C797" i="14"/>
  <c r="C827" i="14" l="1"/>
  <c r="C798" i="14"/>
  <c r="C768" i="14"/>
  <c r="C711" i="14"/>
  <c r="C738" i="14"/>
  <c r="C828" i="14" l="1"/>
  <c r="C712" i="14"/>
  <c r="C769" i="14"/>
  <c r="C739" i="14"/>
  <c r="C799" i="14"/>
  <c r="C713" i="14" l="1"/>
  <c r="C800" i="14"/>
  <c r="C829" i="14"/>
  <c r="C740" i="14"/>
  <c r="C770" i="14"/>
  <c r="C714" i="14" l="1"/>
  <c r="C771" i="14"/>
  <c r="C741" i="14"/>
  <c r="C801" i="14"/>
  <c r="C830" i="14"/>
  <c r="C742" i="14" l="1"/>
  <c r="C772" i="14"/>
  <c r="C831" i="14"/>
  <c r="C802" i="14"/>
  <c r="C743" i="14" l="1"/>
  <c r="C832" i="14"/>
  <c r="C773" i="14"/>
  <c r="C803" i="14"/>
  <c r="C774" i="14" l="1"/>
  <c r="C744" i="14"/>
  <c r="C833" i="14"/>
  <c r="C804" i="14"/>
  <c r="C745" i="14" l="1"/>
  <c r="C805" i="14"/>
  <c r="C834" i="14"/>
  <c r="C775" i="14"/>
  <c r="C776" i="14" l="1"/>
  <c r="C806" i="14"/>
  <c r="C835" i="14"/>
  <c r="C807" i="14" l="1"/>
  <c r="C836" i="14"/>
  <c r="C837" i="14" l="1"/>
  <c r="C838" i="14" l="1"/>
</calcChain>
</file>

<file path=xl/comments1.xml><?xml version="1.0" encoding="utf-8"?>
<comments xmlns="http://schemas.openxmlformats.org/spreadsheetml/2006/main">
  <authors>
    <author>Shawn Printz</author>
  </authors>
  <commentList>
    <comment ref="A78" authorId="0" shapeId="0">
      <text>
        <r>
          <rPr>
            <b/>
            <u/>
            <sz val="9"/>
            <color indexed="81"/>
            <rFont val="Tahoma"/>
            <family val="2"/>
          </rPr>
          <t>Positions:</t>
        </r>
        <r>
          <rPr>
            <sz val="9"/>
            <color indexed="81"/>
            <rFont val="Tahoma"/>
            <charset val="1"/>
          </rPr>
          <t xml:space="preserve">
Admin Asst - Elementary
Admin Asst - High School department
Attendance Secretary - High School</t>
        </r>
      </text>
    </comment>
    <comment ref="A82" authorId="0" shapeId="0">
      <text>
        <r>
          <rPr>
            <b/>
            <sz val="9"/>
            <color indexed="81"/>
            <rFont val="Tahoma"/>
            <family val="2"/>
          </rPr>
          <t>Shawn Printz:</t>
        </r>
        <r>
          <rPr>
            <sz val="9"/>
            <color indexed="81"/>
            <rFont val="Tahoma"/>
            <family val="2"/>
          </rPr>
          <t xml:space="preserve">
move to C-7 in 22-23</t>
        </r>
      </text>
    </comment>
    <comment ref="A86" authorId="0" shapeId="0">
      <text>
        <r>
          <rPr>
            <b/>
            <u/>
            <sz val="9"/>
            <color indexed="81"/>
            <rFont val="Tahoma"/>
            <family val="2"/>
          </rPr>
          <t>Positions:</t>
        </r>
        <r>
          <rPr>
            <sz val="9"/>
            <color indexed="81"/>
            <rFont val="Tahoma"/>
            <charset val="1"/>
          </rPr>
          <t xml:space="preserve">
Admin Asst - Middle School
Admin Asst - Coordinators
Admin Asst - High School AP's
</t>
        </r>
      </text>
    </comment>
    <comment ref="A97" authorId="0" shapeId="0">
      <text>
        <r>
          <rPr>
            <b/>
            <sz val="9"/>
            <color indexed="81"/>
            <rFont val="Tahoma"/>
            <family val="2"/>
          </rPr>
          <t>5-26-22:</t>
        </r>
        <r>
          <rPr>
            <sz val="9"/>
            <color indexed="81"/>
            <rFont val="Tahoma"/>
            <family val="2"/>
          </rPr>
          <t xml:space="preserve">
Position changed based on the complexity of the role and responsibilities.  Connections with community resources, particiaptes in home visits, determines EL Status, fielding general questions about expectations of US schools.  Primarily serves PreK, K, &amp; EL Familes who are new to the U.S.</t>
        </r>
      </text>
    </comment>
    <comment ref="A101" authorId="0" shapeId="0">
      <text>
        <r>
          <rPr>
            <b/>
            <u/>
            <sz val="9"/>
            <color indexed="81"/>
            <rFont val="Tahoma"/>
            <family val="2"/>
          </rPr>
          <t>Positions:</t>
        </r>
        <r>
          <rPr>
            <sz val="9"/>
            <color indexed="81"/>
            <rFont val="Tahoma"/>
            <family val="2"/>
          </rPr>
          <t xml:space="preserve">
Admin Asst - High School
Admin Asst - Directors
Admin Asst - Technology
</t>
        </r>
      </text>
    </comment>
    <comment ref="A105" authorId="0" shapeId="0">
      <text>
        <r>
          <rPr>
            <b/>
            <u/>
            <sz val="9"/>
            <color indexed="81"/>
            <rFont val="Tahoma"/>
            <family val="2"/>
          </rPr>
          <t>Positions:</t>
        </r>
        <r>
          <rPr>
            <sz val="9"/>
            <color indexed="81"/>
            <rFont val="Tahoma"/>
            <family val="2"/>
          </rPr>
          <t xml:space="preserve">
Exec Asst - Chief Academic Officer
Exec Asst - Chief Operating Officer
Exec Asst - Chief of Student Support</t>
        </r>
      </text>
    </comment>
    <comment ref="A127" authorId="0" shapeId="0">
      <text>
        <r>
          <rPr>
            <b/>
            <u/>
            <sz val="9"/>
            <color indexed="81"/>
            <rFont val="Tahoma"/>
            <family val="2"/>
          </rPr>
          <t>Positions:</t>
        </r>
        <r>
          <rPr>
            <sz val="9"/>
            <color indexed="81"/>
            <rFont val="Tahoma"/>
            <family val="2"/>
          </rPr>
          <t xml:space="preserve">
Admin Asst - Elementary
Admin Asst - High School department
Attendance Secrertary - High School
</t>
        </r>
      </text>
    </comment>
    <comment ref="A135" authorId="0" shapeId="0">
      <text>
        <r>
          <rPr>
            <b/>
            <u/>
            <sz val="9"/>
            <color indexed="81"/>
            <rFont val="Tahoma"/>
            <family val="2"/>
          </rPr>
          <t>Positions:</t>
        </r>
        <r>
          <rPr>
            <b/>
            <sz val="9"/>
            <color indexed="81"/>
            <rFont val="Tahoma"/>
            <charset val="1"/>
          </rPr>
          <t xml:space="preserve">
</t>
        </r>
        <r>
          <rPr>
            <sz val="9"/>
            <color indexed="81"/>
            <rFont val="Tahoma"/>
            <family val="2"/>
          </rPr>
          <t>Admin Asst - Middle School
Admin Asst - Coordinators</t>
        </r>
        <r>
          <rPr>
            <sz val="9"/>
            <color indexed="81"/>
            <rFont val="Tahoma"/>
            <charset val="1"/>
          </rPr>
          <t xml:space="preserve">
Admin Asst - High School AP's
</t>
        </r>
      </text>
    </comment>
    <comment ref="A150" authorId="0" shapeId="0">
      <text>
        <r>
          <rPr>
            <b/>
            <u/>
            <sz val="9"/>
            <color indexed="81"/>
            <rFont val="Tahoma"/>
            <family val="2"/>
          </rPr>
          <t>Positions:</t>
        </r>
        <r>
          <rPr>
            <sz val="9"/>
            <color indexed="81"/>
            <rFont val="Tahoma"/>
            <family val="2"/>
          </rPr>
          <t xml:space="preserve">
Admin Asst - High School principal
Admin Asst - Directors
Admin Asst - Technology</t>
        </r>
      </text>
    </comment>
    <comment ref="A154" authorId="0" shapeId="0">
      <text>
        <r>
          <rPr>
            <b/>
            <u/>
            <sz val="9"/>
            <color indexed="81"/>
            <rFont val="Tahoma"/>
            <family val="2"/>
          </rPr>
          <t>Positions:</t>
        </r>
        <r>
          <rPr>
            <sz val="9"/>
            <color indexed="81"/>
            <rFont val="Tahoma"/>
            <family val="2"/>
          </rPr>
          <t xml:space="preserve">
Exec Asst - Chief Academic Officer
Exec Asst - Chief Operating Officer
Exec Asst - Chief of Student Support</t>
        </r>
      </text>
    </comment>
  </commentList>
</comments>
</file>

<file path=xl/sharedStrings.xml><?xml version="1.0" encoding="utf-8"?>
<sst xmlns="http://schemas.openxmlformats.org/spreadsheetml/2006/main" count="2110" uniqueCount="412">
  <si>
    <t>Pay Grade</t>
  </si>
  <si>
    <t>Step</t>
  </si>
  <si>
    <t>Contract Days</t>
  </si>
  <si>
    <t>Proposed Pay Grade</t>
  </si>
  <si>
    <t>Begin Row</t>
  </si>
  <si>
    <t>End Row</t>
  </si>
  <si>
    <t>ESL Specialist</t>
  </si>
  <si>
    <t>Reading Specialist/Instructional Coach</t>
  </si>
  <si>
    <t>Nutrition Assistant</t>
  </si>
  <si>
    <t>World Language Teacher</t>
  </si>
  <si>
    <t>STEM Coordinator</t>
  </si>
  <si>
    <t>English Teacher</t>
  </si>
  <si>
    <t>Fifth Grade Teacher</t>
  </si>
  <si>
    <t>First Grade Teacher</t>
  </si>
  <si>
    <t>Teacher Assistant</t>
  </si>
  <si>
    <t>Licensure Specialist</t>
  </si>
  <si>
    <t>Fourth Grade Teacher</t>
  </si>
  <si>
    <t>Early Childhood SPED Teacher</t>
  </si>
  <si>
    <t>School Counselor</t>
  </si>
  <si>
    <t>Secretary</t>
  </si>
  <si>
    <t>Secondary Mathematics Coord/Testing Director</t>
  </si>
  <si>
    <t>SPED Teacher</t>
  </si>
  <si>
    <t>Social Studies Teacher</t>
  </si>
  <si>
    <t>Math Teacher</t>
  </si>
  <si>
    <t>Second Grade Teacher</t>
  </si>
  <si>
    <t>Science Teacher</t>
  </si>
  <si>
    <t>Executive Director of HEF</t>
  </si>
  <si>
    <t>4-T Instructor</t>
  </si>
  <si>
    <t>Third Grade Teacher</t>
  </si>
  <si>
    <t>Teacher Assistant - SPED</t>
  </si>
  <si>
    <t>Kindergarten Teacher</t>
  </si>
  <si>
    <t>Science/Social Studies Teacher</t>
  </si>
  <si>
    <t>Teacher Assistant - Instruction</t>
  </si>
  <si>
    <t>Secretary - SPED</t>
  </si>
  <si>
    <t>Instructional Technology Resource Teacher</t>
  </si>
  <si>
    <t>Special Education Teacher</t>
  </si>
  <si>
    <t>Student Support Specialist</t>
  </si>
  <si>
    <t>Behavior Specialist</t>
  </si>
  <si>
    <t>Secretary - Bookkeeper</t>
  </si>
  <si>
    <t>Teacher Assistant - VPI</t>
  </si>
  <si>
    <t>Band Teacher</t>
  </si>
  <si>
    <t>FLES Teacher</t>
  </si>
  <si>
    <t>Spanish Teacher</t>
  </si>
  <si>
    <t>Reading Specialist</t>
  </si>
  <si>
    <t>Music Teacher</t>
  </si>
  <si>
    <t>PE Teacher</t>
  </si>
  <si>
    <t>Director of Human Resources</t>
  </si>
  <si>
    <t>Speech Pathologist</t>
  </si>
  <si>
    <t>School Psychologist</t>
  </si>
  <si>
    <t>Translation Support Specialist</t>
  </si>
  <si>
    <t>Instructional Coach</t>
  </si>
  <si>
    <t>Media Specialist (Librarian)</t>
  </si>
  <si>
    <t>History/Science Teacher</t>
  </si>
  <si>
    <t>Family Consumer Science Teacher</t>
  </si>
  <si>
    <t>Health and PE Teacher</t>
  </si>
  <si>
    <t>Custodian</t>
  </si>
  <si>
    <t>Home School Liaison</t>
  </si>
  <si>
    <t>Nutrition Manager</t>
  </si>
  <si>
    <t>School Social Worker</t>
  </si>
  <si>
    <t>Superintendent</t>
  </si>
  <si>
    <t>School Nurse - RN</t>
  </si>
  <si>
    <t>Kindergarten DL Teacher</t>
  </si>
  <si>
    <t>Director of Equity and Community Engagement</t>
  </si>
  <si>
    <t>Earth Science Teacher</t>
  </si>
  <si>
    <t>Director of STEM Education</t>
  </si>
  <si>
    <t>Arabic Teacher</t>
  </si>
  <si>
    <t>Fourth Grade DL Teacher</t>
  </si>
  <si>
    <t>Athletic Trainer</t>
  </si>
  <si>
    <t>Communications/Electronic Technician</t>
  </si>
  <si>
    <t>Computer Resource Technician</t>
  </si>
  <si>
    <t>Science Teacher - Summit Academy</t>
  </si>
  <si>
    <t>Technology I</t>
  </si>
  <si>
    <t>English Teacher - Summit Academy</t>
  </si>
  <si>
    <t>Payroll Supervisor</t>
  </si>
  <si>
    <t>SPED Director</t>
  </si>
  <si>
    <t>Technology Education Teacher</t>
  </si>
  <si>
    <t>Data Processing Administrator</t>
  </si>
  <si>
    <t>Chief Financial Officer</t>
  </si>
  <si>
    <t>Executive Director of Technology</t>
  </si>
  <si>
    <t>STEM Teacher</t>
  </si>
  <si>
    <t>8th Grade STEM Teacher</t>
  </si>
  <si>
    <t>Art Teacher</t>
  </si>
  <si>
    <t>Secretary - Instruction</t>
  </si>
  <si>
    <t>Nutrition Assistant Part Time</t>
  </si>
  <si>
    <t>Teacher Assistant - ISS</t>
  </si>
  <si>
    <t>Mental Health Counselor</t>
  </si>
  <si>
    <t>Blind/Visually Impaired Teacher</t>
  </si>
  <si>
    <t>VPI Teacher</t>
  </si>
  <si>
    <t>Custodian - Head</t>
  </si>
  <si>
    <t>Biology/Chemistry Teacher</t>
  </si>
  <si>
    <t>Chemistry Teacher</t>
  </si>
  <si>
    <t>Visual and Performing Arts Coordinator</t>
  </si>
  <si>
    <t>Secondary Language Arts Coordinator</t>
  </si>
  <si>
    <t>Advanced Learning/STEM Specialist</t>
  </si>
  <si>
    <t>Personal Finance/Economics Teacher</t>
  </si>
  <si>
    <t>Purchasing Specialist</t>
  </si>
  <si>
    <t>Human Resources Assistant</t>
  </si>
  <si>
    <t>Database Specialist</t>
  </si>
  <si>
    <t>Welcome Centr Supervisor</t>
  </si>
  <si>
    <t>Secretary - Finance</t>
  </si>
  <si>
    <t>Coach/Interventionist</t>
  </si>
  <si>
    <t>Teacher Assistant - ECSE</t>
  </si>
  <si>
    <t>Truancy and Attendance Specialist</t>
  </si>
  <si>
    <t>Business and Information Technology Teacher</t>
  </si>
  <si>
    <t>Instr Sup Math, Fine Arts</t>
  </si>
  <si>
    <t>Coordinator of Operations</t>
  </si>
  <si>
    <t>Secretary - Administrative</t>
  </si>
  <si>
    <t>Information Technology Manager</t>
  </si>
  <si>
    <t>Secretary - Media Center</t>
  </si>
  <si>
    <t>Itrt</t>
  </si>
  <si>
    <t>School Counseling Assistant Director</t>
  </si>
  <si>
    <t>Director of Elementary Education</t>
  </si>
  <si>
    <t>VPI Coordinator</t>
  </si>
  <si>
    <t>Civics/Economics Teacher</t>
  </si>
  <si>
    <t>JROTC Assistant</t>
  </si>
  <si>
    <t>Advanced Learning Specialist</t>
  </si>
  <si>
    <t>CTE Teacher</t>
  </si>
  <si>
    <t>Assistant Principal</t>
  </si>
  <si>
    <t>Speech Language Pathology Assistant</t>
  </si>
  <si>
    <t>Maintenance</t>
  </si>
  <si>
    <t>Nutrition Monitor</t>
  </si>
  <si>
    <t>French Teacher</t>
  </si>
  <si>
    <t>Teacher</t>
  </si>
  <si>
    <t>Coordinator</t>
  </si>
  <si>
    <t>Director</t>
  </si>
  <si>
    <t>Supervisor</t>
  </si>
  <si>
    <t>Classification</t>
  </si>
  <si>
    <t>Accounting Assistant I</t>
  </si>
  <si>
    <t>Accounts Payable Clerk</t>
  </si>
  <si>
    <t>Administrative Assistant I</t>
  </si>
  <si>
    <t>Administrative Assistant II</t>
  </si>
  <si>
    <t>Assistant Athletic Director</t>
  </si>
  <si>
    <t>Attendance Secretary</t>
  </si>
  <si>
    <t>Bookkeeper I</t>
  </si>
  <si>
    <t>Bookkeeper II</t>
  </si>
  <si>
    <t>Budget Specialist</t>
  </si>
  <si>
    <t>Chief Officer</t>
  </si>
  <si>
    <t>Dean of Students</t>
  </si>
  <si>
    <t>Electrician</t>
  </si>
  <si>
    <t>Elementary School Assistant Principal</t>
  </si>
  <si>
    <t>Elementary School Principal</t>
  </si>
  <si>
    <t>Executive Assistant</t>
  </si>
  <si>
    <t>Executive Assistant to Superintendent</t>
  </si>
  <si>
    <t>Federal Program Specialist</t>
  </si>
  <si>
    <t>High School Assistant Principal</t>
  </si>
  <si>
    <t>High School Principal</t>
  </si>
  <si>
    <t>HR Assistant</t>
  </si>
  <si>
    <t>HR Specialist</t>
  </si>
  <si>
    <t>Licensed HVAC</t>
  </si>
  <si>
    <t>Middle School Assistant Principal</t>
  </si>
  <si>
    <t>Middle School Principal</t>
  </si>
  <si>
    <t>Payroll Specialist</t>
  </si>
  <si>
    <t>Plumber</t>
  </si>
  <si>
    <t>Registrar and Assessor</t>
  </si>
  <si>
    <t>School Nurse - LPN</t>
  </si>
  <si>
    <t>School Nutrition Assistant</t>
  </si>
  <si>
    <t>School Nutrition Manager (&lt;600 Students)</t>
  </si>
  <si>
    <t>School Nutrition Manager (600-1,000 Students)</t>
  </si>
  <si>
    <t>School Nutrition Manager (&gt;1,000 Students)</t>
  </si>
  <si>
    <t>School Records Clerk</t>
  </si>
  <si>
    <t>Secretary I</t>
  </si>
  <si>
    <t>Secretary II</t>
  </si>
  <si>
    <t>Technology II</t>
  </si>
  <si>
    <t>Language Arts Teacher</t>
  </si>
  <si>
    <t>Testing Coordinator - HHS</t>
  </si>
  <si>
    <t>Newcomer Teacher</t>
  </si>
  <si>
    <t>Biology Teacher</t>
  </si>
  <si>
    <t>Differentiation Specialist</t>
  </si>
  <si>
    <t>Sixth Grade English Teacher</t>
  </si>
  <si>
    <t>Developmental Reading Teacher</t>
  </si>
  <si>
    <t>Physics Teacher</t>
  </si>
  <si>
    <t>STEM Coordinator/Lead Teacher</t>
  </si>
  <si>
    <t>Civics Teacher</t>
  </si>
  <si>
    <t>Computer Teacher</t>
  </si>
  <si>
    <t>School Counseling Director</t>
  </si>
  <si>
    <t>Literacy Coordinator</t>
  </si>
  <si>
    <t>Personal Finance and Economics/GED Teacher</t>
  </si>
  <si>
    <t>Dance Teacher</t>
  </si>
  <si>
    <t>CTE/STEM Health/Medical Sciences Teacher</t>
  </si>
  <si>
    <t>Reading Teacher</t>
  </si>
  <si>
    <t>6th Grade English Teacher</t>
  </si>
  <si>
    <t>Director of GOA</t>
  </si>
  <si>
    <t>Equity Coordinator</t>
  </si>
  <si>
    <t>Drama Teacher</t>
  </si>
  <si>
    <t>ESL Specialist - Newcomer</t>
  </si>
  <si>
    <t>Computer Science Teacher</t>
  </si>
  <si>
    <t>CTE Coordinator/Teacher</t>
  </si>
  <si>
    <t>Social Studies (DL) Teacher</t>
  </si>
  <si>
    <t>Dual Language Teacher</t>
  </si>
  <si>
    <t>Student Accessibility and Assistive Technolgy Specialist</t>
  </si>
  <si>
    <t>Career and Technical Education</t>
  </si>
  <si>
    <t>Alternative Education Teacher</t>
  </si>
  <si>
    <t>Elementary Mathematics Coordinator</t>
  </si>
  <si>
    <t>Content Support Specialist</t>
  </si>
  <si>
    <t>First Grade DL Teacher</t>
  </si>
  <si>
    <t>Coordinator of SPED</t>
  </si>
  <si>
    <t>SPED Instructional Interventionist</t>
  </si>
  <si>
    <t>History Teacher</t>
  </si>
  <si>
    <t>Choral/Music Teacher</t>
  </si>
  <si>
    <t>Strings Teacher</t>
  </si>
  <si>
    <t>Educational Diagnostician</t>
  </si>
  <si>
    <t>Secondary Science Coordinator</t>
  </si>
  <si>
    <t>Health and PE Teacher/Coordinator</t>
  </si>
  <si>
    <t>Supervisor of Early Intervention and Related Services</t>
  </si>
  <si>
    <t>Coordinator - Policies/Div Comm</t>
  </si>
  <si>
    <t>Instructional Coach - SPED</t>
  </si>
  <si>
    <t>ELL Teacher</t>
  </si>
  <si>
    <t>SPED Coordinator</t>
  </si>
  <si>
    <t>Choral Teacher</t>
  </si>
  <si>
    <t>Hearing Impaired Teacher</t>
  </si>
  <si>
    <t>Third Grade DL Teacher</t>
  </si>
  <si>
    <t>Global/Spanish Teacher</t>
  </si>
  <si>
    <t>Instructional Technology Coordinator</t>
  </si>
  <si>
    <t>Smart Beginnings Director</t>
  </si>
  <si>
    <t>Social Studies Coordinator/Teacher</t>
  </si>
  <si>
    <t>Director of Teaching and Learning</t>
  </si>
  <si>
    <t>Director of Federal Programs and Teacher Development</t>
  </si>
  <si>
    <t>Director of School Nutrition</t>
  </si>
  <si>
    <t>Chief Officer for Student Support</t>
  </si>
  <si>
    <t>Chief Academic Officer</t>
  </si>
  <si>
    <t>Chief Operating Officer</t>
  </si>
  <si>
    <t>Director of EL Services and Title III</t>
  </si>
  <si>
    <t>Athletic Director</t>
  </si>
  <si>
    <t>No Range</t>
  </si>
  <si>
    <t>Photographer</t>
  </si>
  <si>
    <t>Teacher Assistant - Newcomers</t>
  </si>
  <si>
    <t>Teacher Assistant - PreK</t>
  </si>
  <si>
    <t>Secretary - Accounts Payable</t>
  </si>
  <si>
    <t>Maintenance - Electrician</t>
  </si>
  <si>
    <t>Library Assistant</t>
  </si>
  <si>
    <t>Teacher Assistant - Media Center</t>
  </si>
  <si>
    <t>Secretary - Administrative/Receptionist</t>
  </si>
  <si>
    <t>Teacher Assistant - 4T</t>
  </si>
  <si>
    <t>Secretary - Receptionist</t>
  </si>
  <si>
    <t>Registrar/Secretary</t>
  </si>
  <si>
    <t>Secretary - Student Support</t>
  </si>
  <si>
    <t>Secretary - Human Resources</t>
  </si>
  <si>
    <t>Community Network Specialist</t>
  </si>
  <si>
    <t>Teacher Assistant - ESL</t>
  </si>
  <si>
    <t>Teacher Assistant - Bilingual</t>
  </si>
  <si>
    <t>Network Administrator</t>
  </si>
  <si>
    <t>Secretary - Guidance</t>
  </si>
  <si>
    <t>Supervisor of Maintenance</t>
  </si>
  <si>
    <t>Secretary - Superintedent/Board Clerk</t>
  </si>
  <si>
    <t>Secretary - Human Resources/Benefits</t>
  </si>
  <si>
    <t>Registrar</t>
  </si>
  <si>
    <t>Secretary - Technology</t>
  </si>
  <si>
    <t>Nutrition Assistant Manager</t>
  </si>
  <si>
    <t>Secretary - Sch Nutrition</t>
  </si>
  <si>
    <t>Survey Minimum</t>
  </si>
  <si>
    <t>Survey Midpoint</t>
  </si>
  <si>
    <t>Survey Maximum</t>
  </si>
  <si>
    <t>Avg. Range Spread</t>
  </si>
  <si>
    <t>Number of Responses</t>
  </si>
  <si>
    <t>Average</t>
  </si>
  <si>
    <t>% Diff</t>
  </si>
  <si>
    <t>Overall Average</t>
  </si>
  <si>
    <t>Total</t>
  </si>
  <si>
    <t>Coordinator of Special Education</t>
  </si>
  <si>
    <t>Director of Special Education</t>
  </si>
  <si>
    <t>Speech Language Pathologist</t>
  </si>
  <si>
    <t>Grade</t>
  </si>
  <si>
    <t>Range Spread</t>
  </si>
  <si>
    <t>Certified</t>
  </si>
  <si>
    <t>Classified</t>
  </si>
  <si>
    <t>A1</t>
  </si>
  <si>
    <t>A2</t>
  </si>
  <si>
    <t>A3</t>
  </si>
  <si>
    <t>A4</t>
  </si>
  <si>
    <t>A5</t>
  </si>
  <si>
    <t>A6</t>
  </si>
  <si>
    <t>Grand Total</t>
  </si>
  <si>
    <t>Row Labels</t>
  </si>
  <si>
    <t>Average of Current Minimum</t>
  </si>
  <si>
    <t>Average of Current Maximum</t>
  </si>
  <si>
    <t>(blank)</t>
  </si>
  <si>
    <t>Class Titles</t>
  </si>
  <si>
    <t>Count of Pay Grade</t>
  </si>
  <si>
    <t>Paygrade</t>
  </si>
  <si>
    <t>Paygrades</t>
  </si>
  <si>
    <t>Market Survey Maximum</t>
  </si>
  <si>
    <t>Market Survey Average Minimum</t>
  </si>
  <si>
    <t>Difference in Mins</t>
  </si>
  <si>
    <t>Difference in Max</t>
  </si>
  <si>
    <t>-</t>
  </si>
  <si>
    <t>A7</t>
  </si>
  <si>
    <t>Average of Annual Salary</t>
  </si>
  <si>
    <t>Current Average Salary</t>
  </si>
  <si>
    <t>Average Current Salary</t>
  </si>
  <si>
    <t>Client Paygrade</t>
  </si>
  <si>
    <t>Current Step Plan</t>
  </si>
  <si>
    <t>Total Avg.</t>
  </si>
  <si>
    <t>Total Avg</t>
  </si>
  <si>
    <t>Min</t>
  </si>
  <si>
    <t>Max</t>
  </si>
  <si>
    <t>Market Survey Min</t>
  </si>
  <si>
    <t>Marekt Survey Max</t>
  </si>
  <si>
    <t>Max Differential</t>
  </si>
  <si>
    <t>T1</t>
  </si>
  <si>
    <t>T2</t>
  </si>
  <si>
    <t>T3</t>
  </si>
  <si>
    <t>C1</t>
  </si>
  <si>
    <t>C2</t>
  </si>
  <si>
    <t>C3</t>
  </si>
  <si>
    <t>C4</t>
  </si>
  <si>
    <t>C5</t>
  </si>
  <si>
    <t>C6</t>
  </si>
  <si>
    <t>C7</t>
  </si>
  <si>
    <t>C8</t>
  </si>
  <si>
    <t>C9</t>
  </si>
  <si>
    <t>C10</t>
  </si>
  <si>
    <t>C11</t>
  </si>
  <si>
    <t>C12</t>
  </si>
  <si>
    <t>C13</t>
  </si>
  <si>
    <t>C14</t>
  </si>
  <si>
    <t>C15</t>
  </si>
  <si>
    <t>Current Average Salary Grade progreassion</t>
  </si>
  <si>
    <t>Current Avg Salary Range Spread</t>
  </si>
  <si>
    <t>Custodian Head</t>
  </si>
  <si>
    <t>Mid Differential</t>
  </si>
  <si>
    <t>Unique Ranges</t>
  </si>
  <si>
    <t>Grade progression</t>
  </si>
  <si>
    <t>Maximum Salary</t>
  </si>
  <si>
    <t>Differential Between Average Current Salary and Market Min</t>
  </si>
  <si>
    <t>Range Spreads</t>
  </si>
  <si>
    <t>Row</t>
  </si>
  <si>
    <t>Pay</t>
  </si>
  <si>
    <t>Days</t>
  </si>
  <si>
    <t>Days*Hours</t>
  </si>
  <si>
    <t>Admin</t>
  </si>
  <si>
    <t>Adjusted Current Payplan (Hourly)</t>
  </si>
  <si>
    <t>Midpoint</t>
  </si>
  <si>
    <t>Maximum</t>
  </si>
  <si>
    <t>C16</t>
  </si>
  <si>
    <t>C17</t>
  </si>
  <si>
    <t>C18</t>
  </si>
  <si>
    <t>C19</t>
  </si>
  <si>
    <t>Overal Average</t>
  </si>
  <si>
    <t>V1</t>
  </si>
  <si>
    <t>V2</t>
  </si>
  <si>
    <t>V3</t>
  </si>
  <si>
    <t>Solution Version</t>
  </si>
  <si>
    <t>Added in percentage increase option and provided a way to see paygrades fro adjusted contract days and hours.</t>
  </si>
  <si>
    <t>Implemented Pay grade re- assignent based onr equest from client. Removed Paygrades C20, A9, A10, t2, t3, t4. Reclassified paygrades T5 and T6 as paygrades T2 and T3 respectively</t>
  </si>
  <si>
    <t>A8</t>
  </si>
  <si>
    <t>Hours</t>
  </si>
  <si>
    <t>T4</t>
  </si>
  <si>
    <t>Administrative Staff</t>
  </si>
  <si>
    <t>Classified Staff</t>
  </si>
  <si>
    <t>Certified Staff</t>
  </si>
  <si>
    <t>Human Resource Specialist</t>
  </si>
  <si>
    <t>Executive Assistant to Superintendent &amp; SB Clerk</t>
  </si>
  <si>
    <t>ASL Interpreter</t>
  </si>
  <si>
    <t>Administrative Staff Advanced Degree Stipends:</t>
  </si>
  <si>
    <t>Certified Staff Advanced Degree Stipends:</t>
  </si>
  <si>
    <t>30+</t>
  </si>
  <si>
    <t>Classified Staff Advanced Degree/Proficiency Stipends:</t>
  </si>
  <si>
    <t>STEPS</t>
  </si>
  <si>
    <t>Assistant Payroll Specialist</t>
  </si>
  <si>
    <t>Welcome Center Registrar &amp; Assessor</t>
  </si>
  <si>
    <t>Speech Language Pathologist - Assistant</t>
  </si>
  <si>
    <t>Assistant Counseling Director</t>
  </si>
  <si>
    <t>Social Worker</t>
  </si>
  <si>
    <t>Counseling Director</t>
  </si>
  <si>
    <t>Teacher, Media Specialist, Counselor</t>
  </si>
  <si>
    <r>
      <t>Administrative Staff</t>
    </r>
    <r>
      <rPr>
        <b/>
        <i/>
        <sz val="14"/>
        <color theme="0"/>
        <rFont val="Calibri"/>
        <family val="2"/>
      </rPr>
      <t xml:space="preserve"> (continued)</t>
    </r>
  </si>
  <si>
    <r>
      <t>Certified Staff</t>
    </r>
    <r>
      <rPr>
        <b/>
        <i/>
        <sz val="14"/>
        <color theme="0"/>
        <rFont val="Calibri"/>
        <family val="2"/>
      </rPr>
      <t xml:space="preserve"> (continued)</t>
    </r>
  </si>
  <si>
    <r>
      <t>Classified Staff</t>
    </r>
    <r>
      <rPr>
        <b/>
        <i/>
        <sz val="14"/>
        <color theme="0"/>
        <rFont val="Calibri"/>
        <family val="2"/>
      </rPr>
      <t xml:space="preserve"> (continued)</t>
    </r>
  </si>
  <si>
    <t>Finance Assistant</t>
  </si>
  <si>
    <t>Bookkeeper - Elementary School</t>
  </si>
  <si>
    <t>HR/Benefits Assistant</t>
  </si>
  <si>
    <t>Bookkeeper - Middle School</t>
  </si>
  <si>
    <t>Registered Nurse</t>
  </si>
  <si>
    <t>Bookkeeper - High School</t>
  </si>
  <si>
    <t>Accounts Payable Specialist</t>
  </si>
  <si>
    <t>American Sign Language (ASL) Interpter (Entry)</t>
  </si>
  <si>
    <t>HR/Licensure Specialist</t>
  </si>
  <si>
    <t>Receptionist/Administrative Assistant</t>
  </si>
  <si>
    <r>
      <t>School Nutrition Manager (&lt; 600 students) [</t>
    </r>
    <r>
      <rPr>
        <i/>
        <sz val="11"/>
        <color theme="1"/>
        <rFont val="Calibri"/>
        <family val="2"/>
      </rPr>
      <t>7 hrs/day]</t>
    </r>
  </si>
  <si>
    <r>
      <t>School Nutrition Manager - High School [</t>
    </r>
    <r>
      <rPr>
        <i/>
        <sz val="11"/>
        <color theme="1"/>
        <rFont val="Calibri"/>
        <family val="2"/>
      </rPr>
      <t>8 hrs/day]</t>
    </r>
  </si>
  <si>
    <r>
      <t xml:space="preserve">Licensed/Certified Maintenance Technician </t>
    </r>
    <r>
      <rPr>
        <i/>
        <sz val="11"/>
        <color theme="1"/>
        <rFont val="Calibri"/>
        <family val="2"/>
      </rPr>
      <t>[8 hrs/day]</t>
    </r>
  </si>
  <si>
    <r>
      <t>Assistant School Nutrition Manager</t>
    </r>
    <r>
      <rPr>
        <i/>
        <sz val="11"/>
        <color theme="1"/>
        <rFont val="Calibri"/>
        <family val="2"/>
      </rPr>
      <t xml:space="preserve"> [7 hrs/day]</t>
    </r>
  </si>
  <si>
    <r>
      <t xml:space="preserve">Head Custodian </t>
    </r>
    <r>
      <rPr>
        <i/>
        <sz val="11"/>
        <color theme="1"/>
        <rFont val="Calibri"/>
        <family val="2"/>
      </rPr>
      <t>[8 hrs/day]</t>
    </r>
  </si>
  <si>
    <r>
      <t>Maintenance</t>
    </r>
    <r>
      <rPr>
        <i/>
        <sz val="11"/>
        <color theme="1"/>
        <rFont val="Calibri"/>
        <family val="2"/>
      </rPr>
      <t xml:space="preserve"> [8 hrs/day]</t>
    </r>
  </si>
  <si>
    <r>
      <t xml:space="preserve">Custodian </t>
    </r>
    <r>
      <rPr>
        <i/>
        <sz val="11"/>
        <color theme="1"/>
        <rFont val="Calibri"/>
        <family val="2"/>
      </rPr>
      <t>[8 hrs/day]</t>
    </r>
  </si>
  <si>
    <r>
      <t xml:space="preserve">Nutrition Assistant </t>
    </r>
    <r>
      <rPr>
        <i/>
        <sz val="11"/>
        <color theme="1"/>
        <rFont val="Calibri"/>
        <family val="2"/>
      </rPr>
      <t>[5 hrs/day]</t>
    </r>
  </si>
  <si>
    <t>CO Receptionist/HR Assistant</t>
  </si>
  <si>
    <t>Coordinator of Interpreter &amp; Translation</t>
  </si>
  <si>
    <t>Administrative Assistant - Guidance</t>
  </si>
  <si>
    <r>
      <t>School Nutrition Manager (601-1,000 students) [</t>
    </r>
    <r>
      <rPr>
        <i/>
        <sz val="11"/>
        <color theme="1"/>
        <rFont val="Calibri"/>
        <family val="2"/>
      </rPr>
      <t>7 hrs/day]</t>
    </r>
  </si>
  <si>
    <r>
      <t>Head Custodian</t>
    </r>
    <r>
      <rPr>
        <i/>
        <sz val="11"/>
        <color theme="1"/>
        <rFont val="Calibri"/>
        <family val="2"/>
      </rPr>
      <t xml:space="preserve"> [8 hrs/day]</t>
    </r>
  </si>
  <si>
    <r>
      <t xml:space="preserve">Maintenance </t>
    </r>
    <r>
      <rPr>
        <i/>
        <sz val="11"/>
        <color theme="1"/>
        <rFont val="Calibri"/>
        <family val="2"/>
      </rPr>
      <t>[8 hrs/day]</t>
    </r>
  </si>
  <si>
    <r>
      <t xml:space="preserve">Asstistant Nutrition Manager </t>
    </r>
    <r>
      <rPr>
        <i/>
        <sz val="11"/>
        <color theme="1"/>
        <rFont val="Calibri"/>
        <family val="2"/>
      </rPr>
      <t>[7 hrs/day]</t>
    </r>
  </si>
  <si>
    <r>
      <t>School Nutrition Manager (&lt; 600 students)</t>
    </r>
    <r>
      <rPr>
        <i/>
        <sz val="11"/>
        <color theme="1"/>
        <rFont val="Calibri"/>
        <family val="2"/>
      </rPr>
      <t xml:space="preserve"> [7 hrs/day]</t>
    </r>
  </si>
  <si>
    <r>
      <t>School Nutrition Manager (601-1,000 students)</t>
    </r>
    <r>
      <rPr>
        <i/>
        <sz val="11"/>
        <color theme="1"/>
        <rFont val="Calibri"/>
        <family val="2"/>
      </rPr>
      <t xml:space="preserve"> [7 hrs/day]</t>
    </r>
  </si>
  <si>
    <r>
      <t>School Nutrition Manager - High School</t>
    </r>
    <r>
      <rPr>
        <i/>
        <sz val="11"/>
        <color theme="1"/>
        <rFont val="Calibri"/>
        <family val="2"/>
      </rPr>
      <t xml:space="preserve"> [8 hrs/day]</t>
    </r>
  </si>
  <si>
    <r>
      <t>Licensed/Certified Maintenance Technician</t>
    </r>
    <r>
      <rPr>
        <i/>
        <sz val="11"/>
        <color theme="1"/>
        <rFont val="Calibri"/>
        <family val="2"/>
      </rPr>
      <t xml:space="preserve"> [8 hrs/day]</t>
    </r>
  </si>
  <si>
    <r>
      <t xml:space="preserve">Administrative Assistant II </t>
    </r>
    <r>
      <rPr>
        <i/>
        <sz val="11"/>
        <color theme="1"/>
        <rFont val="Calibri"/>
        <family val="2"/>
      </rPr>
      <t>(pka Admin Asst I)</t>
    </r>
  </si>
  <si>
    <r>
      <t xml:space="preserve">Administrative Assistant I </t>
    </r>
    <r>
      <rPr>
        <i/>
        <sz val="11"/>
        <color theme="1"/>
        <rFont val="Calibri"/>
        <family val="2"/>
      </rPr>
      <t>(pka Secretary II)</t>
    </r>
  </si>
  <si>
    <r>
      <t xml:space="preserve">Administrative Assistant III </t>
    </r>
    <r>
      <rPr>
        <i/>
        <sz val="11"/>
        <color theme="1"/>
        <rFont val="Calibri"/>
        <family val="2"/>
      </rPr>
      <t>(pka Admin Asst II)</t>
    </r>
  </si>
  <si>
    <t>Administrative Assistant / Medicaid Specialist</t>
  </si>
  <si>
    <t>Salary Scales (FY 2023)</t>
  </si>
  <si>
    <t>Salary Scales (FY2023)</t>
  </si>
  <si>
    <t>Family &amp; School Liaison, Behavior Specialist</t>
  </si>
  <si>
    <t>Family &amp; School Liaison (Associates degree)</t>
  </si>
  <si>
    <t>Communication Specialist</t>
  </si>
  <si>
    <t>Harrisonburg Education Foundation Executive Director</t>
  </si>
  <si>
    <t>● Masters Debree = $2,800</t>
  </si>
  <si>
    <t>● Education Specialist Degree = $3,900</t>
  </si>
  <si>
    <t>● Doctorate Degree = $5,000</t>
  </si>
  <si>
    <t>● Biligual Proficiency Assessment (clerical staff only) = $2,000</t>
  </si>
  <si>
    <t>● Education Specialist Degree = $1,200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</si>
</sst>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5" formatCode="&quot;$&quot;#,##0_);\(&quot;$&quot;#,##0\)"/>
    <numFmt numFmtId="7" formatCode="&quot;$&quot;#,##0.00_);\(&quot;$&quot;#,##0.00\)"/>
    <numFmt numFmtId="44" formatCode="_(&quot;$&quot;* #,##0.00_);_(&quot;$&quot;* \(#,##0.00\);_(&quot;$&quot;* &quot;-&quot;??_);_(@_)"/>
    <numFmt numFmtId="43" formatCode="_(* #,##0.00_);_(* \(#,##0.00\);_(* &quot;-&quot;??_);_(@_)"/>
    <numFmt numFmtId="164" formatCode="&quot;$&quot;#,##0.00"/>
    <numFmt numFmtId="165" formatCode="0.000"/>
    <numFmt numFmtId="166" formatCode="0.0"/>
    <numFmt numFmtId="167" formatCode="0.0%"/>
    <numFmt numFmtId="168" formatCode="&quot;$&quot;#,##0"/>
    <numFmt numFmtId="169" formatCode="0.000%"/>
  </numFmts>
  <fonts count="29" x14ac:knownFonts="1">
    <font>
      <sz val="11"/>
      <color theme="1"/>
      <name val="Calibri"/>
      <family val="2"/>
      <scheme val="minor"/>
    </font>
    <font>
      <sz val="11"/>
      <color theme="1"/>
      <name val="Calibri"/>
      <family val="2"/>
      <scheme val="minor"/>
    </font>
    <font>
      <b/>
      <sz val="11"/>
      <color theme="0"/>
      <name val="Franklin Gothic Book"/>
      <family val="2"/>
    </font>
    <font>
      <sz val="10"/>
      <color theme="1"/>
      <name val="Franklin Gothic Book"/>
      <family val="2"/>
    </font>
    <font>
      <b/>
      <sz val="10"/>
      <color theme="1"/>
      <name val="Franklin Gothic Book"/>
      <family val="2"/>
    </font>
    <font>
      <b/>
      <sz val="11"/>
      <color indexed="9"/>
      <name val="Franklin Gothic Book"/>
      <family val="2"/>
    </font>
    <font>
      <sz val="10"/>
      <name val="Arial"/>
      <family val="2"/>
    </font>
    <font>
      <sz val="10"/>
      <name val="Franklin Gothic Book"/>
      <family val="2"/>
    </font>
    <font>
      <b/>
      <sz val="10"/>
      <name val="Franklin Gothic Book"/>
      <family val="2"/>
    </font>
    <font>
      <b/>
      <sz val="11"/>
      <color theme="0"/>
      <name val="Calibri"/>
      <family val="2"/>
      <scheme val="minor"/>
    </font>
    <font>
      <sz val="11"/>
      <color theme="0"/>
      <name val="Calibri"/>
      <family val="2"/>
      <scheme val="minor"/>
    </font>
    <font>
      <sz val="11"/>
      <color rgb="FF9C5700"/>
      <name val="Calibri"/>
      <family val="2"/>
      <scheme val="minor"/>
    </font>
    <font>
      <b/>
      <sz val="11"/>
      <color theme="1"/>
      <name val="Calibri"/>
      <family val="2"/>
      <scheme val="minor"/>
    </font>
    <font>
      <sz val="8"/>
      <name val="Calibri"/>
      <family val="2"/>
      <scheme val="minor"/>
    </font>
    <font>
      <b/>
      <sz val="14"/>
      <color theme="0"/>
      <name val="Calibri"/>
      <family val="2"/>
    </font>
    <font>
      <sz val="11"/>
      <color theme="1"/>
      <name val="Calibri"/>
      <family val="2"/>
    </font>
    <font>
      <b/>
      <sz val="11"/>
      <color theme="0"/>
      <name val="Calibri"/>
      <family val="2"/>
    </font>
    <font>
      <sz val="10"/>
      <color theme="1"/>
      <name val="Calibri"/>
      <family val="2"/>
    </font>
    <font>
      <b/>
      <sz val="10"/>
      <color theme="1"/>
      <name val="Calibri"/>
      <family val="2"/>
    </font>
    <font>
      <b/>
      <sz val="11"/>
      <color theme="1"/>
      <name val="Calibri"/>
      <family val="2"/>
    </font>
    <font>
      <b/>
      <sz val="12"/>
      <color theme="0"/>
      <name val="Calibri"/>
      <family val="2"/>
    </font>
    <font>
      <b/>
      <i/>
      <sz val="11"/>
      <color theme="1"/>
      <name val="Calibri"/>
      <family val="2"/>
    </font>
    <font>
      <b/>
      <i/>
      <sz val="14"/>
      <color theme="0"/>
      <name val="Calibri"/>
      <family val="2"/>
    </font>
    <font>
      <i/>
      <sz val="11"/>
      <color theme="1"/>
      <name val="Calibri"/>
      <family val="2"/>
    </font>
    <font>
      <sz val="9"/>
      <color indexed="81"/>
      <name val="Tahoma"/>
      <charset val="1"/>
    </font>
    <font>
      <b/>
      <sz val="9"/>
      <color indexed="81"/>
      <name val="Tahoma"/>
      <charset val="1"/>
    </font>
    <font>
      <sz val="9"/>
      <color indexed="81"/>
      <name val="Tahoma"/>
      <family val="2"/>
    </font>
    <font>
      <b/>
      <u/>
      <sz val="9"/>
      <color indexed="81"/>
      <name val="Tahoma"/>
      <family val="2"/>
    </font>
    <font>
      <b/>
      <sz val="9"/>
      <color indexed="81"/>
      <name val="Tahoma"/>
      <family val="2"/>
    </font>
  </fonts>
  <fills count="13">
    <fill>
      <patternFill patternType="none"/>
    </fill>
    <fill>
      <patternFill patternType="gray125"/>
    </fill>
    <fill>
      <patternFill patternType="solid">
        <fgColor rgb="FF336600"/>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1" tint="0.249977111117893"/>
        <bgColor indexed="64"/>
      </patternFill>
    </fill>
    <fill>
      <patternFill patternType="solid">
        <fgColor theme="9" tint="-0.249977111117893"/>
        <bgColor indexed="64"/>
      </patternFill>
    </fill>
    <fill>
      <patternFill patternType="solid">
        <fgColor rgb="FFFFEB9C"/>
      </patternFill>
    </fill>
    <fill>
      <patternFill patternType="solid">
        <fgColor theme="2" tint="-0.249977111117893"/>
        <bgColor indexed="64"/>
      </patternFill>
    </fill>
    <fill>
      <patternFill patternType="solid">
        <fgColor rgb="FFFFFF00"/>
        <bgColor indexed="64"/>
      </patternFill>
    </fill>
    <fill>
      <patternFill patternType="solid">
        <fgColor theme="0" tint="-0.34998626667073579"/>
        <bgColor indexed="64"/>
      </patternFill>
    </fill>
    <fill>
      <patternFill patternType="solid">
        <fgColor theme="0" tint="-0.14999847407452621"/>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s>
  <cellStyleXfs count="7">
    <xf numFmtId="0" fontId="0" fillId="0" borderId="0"/>
    <xf numFmtId="0" fontId="1" fillId="0" borderId="0"/>
    <xf numFmtId="43" fontId="1"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0" fontId="11" fillId="8" borderId="0" applyNumberFormat="0" applyBorder="0" applyAlignment="0" applyProtection="0"/>
    <xf numFmtId="44" fontId="1" fillId="0" borderId="0" applyFont="0" applyFill="0" applyBorder="0" applyAlignment="0" applyProtection="0"/>
  </cellStyleXfs>
  <cellXfs count="371">
    <xf numFmtId="0" fontId="0" fillId="0" borderId="0" xfId="0"/>
    <xf numFmtId="164" fontId="0" fillId="0" borderId="0" xfId="0" applyNumberFormat="1"/>
    <xf numFmtId="0" fontId="0" fillId="0" borderId="1" xfId="0" applyBorder="1"/>
    <xf numFmtId="164" fontId="0" fillId="0" borderId="1" xfId="0" applyNumberFormat="1" applyBorder="1"/>
    <xf numFmtId="164" fontId="0" fillId="0" borderId="1" xfId="0" applyNumberFormat="1" applyBorder="1" applyAlignment="1">
      <alignment horizontal="center" vertical="center"/>
    </xf>
    <xf numFmtId="164" fontId="5" fillId="2" borderId="1" xfId="0" applyNumberFormat="1" applyFont="1" applyFill="1" applyBorder="1" applyAlignment="1">
      <alignment horizontal="center" vertical="center" wrapText="1"/>
    </xf>
    <xf numFmtId="167" fontId="5" fillId="2" borderId="1" xfId="0" applyNumberFormat="1" applyFont="1" applyFill="1" applyBorder="1" applyAlignment="1">
      <alignment horizontal="center" vertical="center" wrapText="1"/>
    </xf>
    <xf numFmtId="0" fontId="7" fillId="0" borderId="4" xfId="2" applyNumberFormat="1" applyFont="1" applyBorder="1" applyAlignment="1">
      <alignment horizontal="left" vertical="center"/>
    </xf>
    <xf numFmtId="164" fontId="7" fillId="0" borderId="8" xfId="2" applyNumberFormat="1" applyFont="1" applyBorder="1" applyAlignment="1">
      <alignment horizontal="center" vertical="center"/>
    </xf>
    <xf numFmtId="167" fontId="7" fillId="0" borderId="8" xfId="2" applyNumberFormat="1" applyFont="1" applyBorder="1" applyAlignment="1">
      <alignment horizontal="center" vertical="center"/>
    </xf>
    <xf numFmtId="1" fontId="7" fillId="0" borderId="8" xfId="2" applyNumberFormat="1" applyFont="1" applyBorder="1" applyAlignment="1">
      <alignment horizontal="center" vertical="center"/>
    </xf>
    <xf numFmtId="0" fontId="8" fillId="5" borderId="1" xfId="0" applyFont="1" applyFill="1" applyBorder="1" applyAlignment="1">
      <alignment vertical="center"/>
    </xf>
    <xf numFmtId="0" fontId="8" fillId="6" borderId="1" xfId="0" applyFont="1" applyFill="1" applyBorder="1" applyAlignment="1">
      <alignment horizontal="center" vertical="center"/>
    </xf>
    <xf numFmtId="167" fontId="4" fillId="5" borderId="1" xfId="3" applyNumberFormat="1" applyFont="1" applyFill="1" applyBorder="1" applyAlignment="1">
      <alignment horizontal="center" vertical="center"/>
    </xf>
    <xf numFmtId="164" fontId="7" fillId="6" borderId="1" xfId="0" applyNumberFormat="1" applyFont="1" applyFill="1" applyBorder="1" applyAlignment="1">
      <alignment horizontal="center" vertical="center"/>
    </xf>
    <xf numFmtId="166" fontId="4" fillId="5" borderId="1" xfId="3" applyNumberFormat="1" applyFont="1" applyFill="1" applyBorder="1" applyAlignment="1">
      <alignment horizontal="center" vertical="center"/>
    </xf>
    <xf numFmtId="0" fontId="8" fillId="5" borderId="2" xfId="0" applyFont="1" applyFill="1" applyBorder="1" applyAlignment="1">
      <alignment vertical="center"/>
    </xf>
    <xf numFmtId="0" fontId="8" fillId="5" borderId="5" xfId="0" applyFont="1" applyFill="1" applyBorder="1" applyAlignment="1">
      <alignment vertical="center"/>
    </xf>
    <xf numFmtId="0" fontId="8" fillId="5" borderId="3" xfId="0" applyFont="1" applyFill="1" applyBorder="1" applyAlignment="1">
      <alignment vertical="center"/>
    </xf>
    <xf numFmtId="1" fontId="4" fillId="5" borderId="1" xfId="3" applyNumberFormat="1" applyFont="1" applyFill="1" applyBorder="1" applyAlignment="1">
      <alignment horizontal="center" vertical="center"/>
    </xf>
    <xf numFmtId="0" fontId="0" fillId="0" borderId="0" xfId="0" pivotButton="1"/>
    <xf numFmtId="0" fontId="0" fillId="0" borderId="0" xfId="0" applyAlignment="1">
      <alignment horizontal="left"/>
    </xf>
    <xf numFmtId="0" fontId="0" fillId="0" borderId="0" xfId="0" applyNumberFormat="1"/>
    <xf numFmtId="1" fontId="0" fillId="0" borderId="0" xfId="0" applyNumberFormat="1"/>
    <xf numFmtId="0" fontId="10" fillId="7" borderId="19" xfId="0" applyFont="1" applyFill="1" applyBorder="1" applyAlignment="1">
      <alignment horizontal="left"/>
    </xf>
    <xf numFmtId="0" fontId="10" fillId="7" borderId="20" xfId="0" applyFont="1" applyFill="1" applyBorder="1" applyAlignment="1">
      <alignment horizontal="left"/>
    </xf>
    <xf numFmtId="0" fontId="0" fillId="0" borderId="22" xfId="0" applyBorder="1"/>
    <xf numFmtId="0" fontId="0" fillId="0" borderId="24" xfId="0" applyBorder="1"/>
    <xf numFmtId="0" fontId="10" fillId="7" borderId="19" xfId="0" applyFont="1" applyFill="1" applyBorder="1" applyAlignment="1">
      <alignment horizontal="center" vertical="center"/>
    </xf>
    <xf numFmtId="0" fontId="10" fillId="7" borderId="20" xfId="0" applyFont="1" applyFill="1" applyBorder="1" applyAlignment="1">
      <alignment horizontal="center" vertical="center"/>
    </xf>
    <xf numFmtId="0" fontId="0" fillId="0" borderId="21" xfId="0" applyBorder="1"/>
    <xf numFmtId="0" fontId="10" fillId="7" borderId="25" xfId="0" applyFont="1" applyFill="1" applyBorder="1" applyAlignment="1">
      <alignment horizontal="center" vertical="center"/>
    </xf>
    <xf numFmtId="0" fontId="10" fillId="7" borderId="0" xfId="0" applyFont="1" applyFill="1" applyBorder="1" applyAlignment="1">
      <alignment horizontal="center" vertical="center"/>
    </xf>
    <xf numFmtId="0" fontId="0" fillId="0" borderId="0" xfId="0" applyBorder="1"/>
    <xf numFmtId="0" fontId="0" fillId="0" borderId="0" xfId="0" applyNumberFormat="1" applyBorder="1"/>
    <xf numFmtId="0" fontId="9" fillId="7" borderId="19" xfId="0" applyFont="1" applyFill="1" applyBorder="1" applyAlignment="1">
      <alignment horizontal="left"/>
    </xf>
    <xf numFmtId="0" fontId="9" fillId="7" borderId="20" xfId="0" applyFont="1" applyFill="1" applyBorder="1" applyAlignment="1">
      <alignment horizontal="left"/>
    </xf>
    <xf numFmtId="10" fontId="0" fillId="10" borderId="18" xfId="4" applyNumberFormat="1" applyFont="1" applyFill="1" applyBorder="1" applyAlignment="1">
      <alignment horizontal="center"/>
    </xf>
    <xf numFmtId="0" fontId="12" fillId="9" borderId="23" xfId="0" applyFont="1" applyFill="1" applyBorder="1" applyAlignment="1">
      <alignment horizontal="center" vertical="center"/>
    </xf>
    <xf numFmtId="0" fontId="0" fillId="9" borderId="27" xfId="0" applyFill="1" applyBorder="1" applyAlignment="1">
      <alignment horizontal="center" vertical="center"/>
    </xf>
    <xf numFmtId="164" fontId="0" fillId="9" borderId="23" xfId="0" applyNumberFormat="1" applyFill="1" applyBorder="1" applyAlignment="1">
      <alignment horizontal="center" vertical="center"/>
    </xf>
    <xf numFmtId="10" fontId="0" fillId="10" borderId="23" xfId="4" applyNumberFormat="1" applyFont="1" applyFill="1" applyBorder="1" applyAlignment="1">
      <alignment horizontal="center" vertical="center"/>
    </xf>
    <xf numFmtId="10" fontId="0" fillId="10" borderId="27" xfId="4" applyNumberFormat="1" applyFont="1" applyFill="1" applyBorder="1" applyAlignment="1">
      <alignment horizontal="center" vertical="center"/>
    </xf>
    <xf numFmtId="10" fontId="0" fillId="0" borderId="1" xfId="4" applyNumberFormat="1" applyFont="1" applyBorder="1" applyAlignment="1">
      <alignment horizontal="center" vertical="center"/>
    </xf>
    <xf numFmtId="10" fontId="0" fillId="0" borderId="1" xfId="4" applyNumberFormat="1" applyFont="1" applyBorder="1" applyAlignment="1">
      <alignment horizontal="center"/>
    </xf>
    <xf numFmtId="0" fontId="0" fillId="0" borderId="28" xfId="0" applyBorder="1"/>
    <xf numFmtId="164" fontId="0" fillId="0" borderId="28" xfId="0" applyNumberFormat="1" applyBorder="1" applyAlignment="1">
      <alignment horizontal="center" vertical="center"/>
    </xf>
    <xf numFmtId="10" fontId="0" fillId="0" borderId="29" xfId="4" applyNumberFormat="1" applyFont="1" applyBorder="1" applyAlignment="1">
      <alignment horizontal="center" vertical="center"/>
    </xf>
    <xf numFmtId="10" fontId="0" fillId="0" borderId="29" xfId="4" applyNumberFormat="1" applyFont="1" applyBorder="1" applyAlignment="1">
      <alignment horizontal="center"/>
    </xf>
    <xf numFmtId="0" fontId="10" fillId="7" borderId="25" xfId="0" applyFont="1" applyFill="1" applyBorder="1" applyAlignment="1">
      <alignment horizontal="left"/>
    </xf>
    <xf numFmtId="0" fontId="0" fillId="0" borderId="26" xfId="0" applyBorder="1"/>
    <xf numFmtId="164" fontId="0" fillId="9" borderId="26" xfId="0" applyNumberFormat="1" applyFill="1" applyBorder="1" applyAlignment="1">
      <alignment horizontal="left" vertical="center"/>
    </xf>
    <xf numFmtId="0" fontId="11" fillId="8" borderId="1" xfId="5" applyBorder="1" applyAlignment="1">
      <alignment horizontal="center" vertical="center"/>
    </xf>
    <xf numFmtId="0" fontId="10" fillId="7" borderId="30" xfId="0" applyFont="1" applyFill="1" applyBorder="1" applyAlignment="1">
      <alignment horizontal="center" vertical="center"/>
    </xf>
    <xf numFmtId="0" fontId="0" fillId="3" borderId="0" xfId="0" applyFill="1" applyAlignment="1">
      <alignment horizontal="left"/>
    </xf>
    <xf numFmtId="164" fontId="0" fillId="3" borderId="0" xfId="0" applyNumberFormat="1" applyFill="1"/>
    <xf numFmtId="0" fontId="0" fillId="3" borderId="0" xfId="0" applyNumberFormat="1" applyFill="1"/>
    <xf numFmtId="0" fontId="0" fillId="3" borderId="0" xfId="0" applyNumberFormat="1" applyFill="1" applyBorder="1"/>
    <xf numFmtId="0" fontId="0" fillId="3" borderId="0" xfId="0" applyFill="1"/>
    <xf numFmtId="10" fontId="0" fillId="0" borderId="31" xfId="4" applyNumberFormat="1" applyFont="1" applyBorder="1"/>
    <xf numFmtId="167" fontId="0" fillId="0" borderId="31" xfId="4" applyNumberFormat="1" applyFont="1" applyBorder="1"/>
    <xf numFmtId="167" fontId="0" fillId="0" borderId="27" xfId="4" applyNumberFormat="1" applyFont="1" applyBorder="1"/>
    <xf numFmtId="10" fontId="0" fillId="0" borderId="33" xfId="4" applyNumberFormat="1" applyFont="1" applyBorder="1" applyAlignment="1">
      <alignment horizontal="center"/>
    </xf>
    <xf numFmtId="10" fontId="0" fillId="0" borderId="34" xfId="4" applyNumberFormat="1" applyFont="1" applyBorder="1" applyAlignment="1">
      <alignment horizontal="center"/>
    </xf>
    <xf numFmtId="167" fontId="0" fillId="10" borderId="18" xfId="4" applyNumberFormat="1" applyFont="1" applyFill="1" applyBorder="1"/>
    <xf numFmtId="0" fontId="0" fillId="0" borderId="35" xfId="0" applyBorder="1"/>
    <xf numFmtId="0" fontId="10" fillId="7" borderId="20" xfId="0" applyFont="1" applyFill="1" applyBorder="1" applyAlignment="1">
      <alignment horizontal="center"/>
    </xf>
    <xf numFmtId="0" fontId="10" fillId="7" borderId="30" xfId="0" applyFont="1" applyFill="1" applyBorder="1" applyAlignment="1">
      <alignment horizontal="left"/>
    </xf>
    <xf numFmtId="0" fontId="0" fillId="0" borderId="20" xfId="0" applyBorder="1"/>
    <xf numFmtId="0" fontId="0" fillId="0" borderId="23" xfId="0" applyBorder="1"/>
    <xf numFmtId="0" fontId="0" fillId="0" borderId="19" xfId="0" applyBorder="1"/>
    <xf numFmtId="10" fontId="0" fillId="0" borderId="25" xfId="4" applyNumberFormat="1" applyFont="1" applyBorder="1"/>
    <xf numFmtId="10" fontId="0" fillId="0" borderId="0" xfId="4" applyNumberFormat="1" applyFont="1" applyBorder="1"/>
    <xf numFmtId="10" fontId="0" fillId="0" borderId="26" xfId="4" applyNumberFormat="1" applyFont="1" applyBorder="1"/>
    <xf numFmtId="10" fontId="0" fillId="0" borderId="0" xfId="0" applyNumberFormat="1"/>
    <xf numFmtId="0" fontId="10" fillId="7" borderId="30" xfId="0" applyFont="1" applyFill="1" applyBorder="1" applyAlignment="1">
      <alignment horizontal="center"/>
    </xf>
    <xf numFmtId="10" fontId="0" fillId="0" borderId="18" xfId="0" applyNumberFormat="1" applyBorder="1" applyAlignment="1">
      <alignment horizontal="center" vertical="center"/>
    </xf>
    <xf numFmtId="0" fontId="10" fillId="7" borderId="31" xfId="0" applyFont="1" applyFill="1" applyBorder="1" applyAlignment="1">
      <alignment horizontal="center" vertical="center"/>
    </xf>
    <xf numFmtId="10" fontId="0" fillId="0" borderId="27" xfId="4" applyNumberFormat="1" applyFont="1" applyBorder="1"/>
    <xf numFmtId="7" fontId="3" fillId="3" borderId="0" xfId="0" applyNumberFormat="1" applyFont="1" applyFill="1" applyBorder="1" applyAlignment="1">
      <alignment horizontal="right" vertical="center"/>
    </xf>
    <xf numFmtId="7" fontId="3" fillId="4" borderId="0" xfId="0" applyNumberFormat="1" applyFont="1" applyFill="1" applyBorder="1" applyAlignment="1">
      <alignment horizontal="right" vertical="center"/>
    </xf>
    <xf numFmtId="0" fontId="0" fillId="0" borderId="31" xfId="0" applyBorder="1"/>
    <xf numFmtId="0" fontId="2" fillId="2" borderId="32" xfId="0" applyFont="1" applyFill="1" applyBorder="1" applyAlignment="1">
      <alignment horizontal="center" vertical="center" wrapText="1"/>
    </xf>
    <xf numFmtId="7" fontId="3" fillId="3" borderId="31" xfId="0" applyNumberFormat="1" applyFont="1" applyFill="1" applyBorder="1" applyAlignment="1">
      <alignment horizontal="right" vertical="center"/>
    </xf>
    <xf numFmtId="7" fontId="3" fillId="4" borderId="31" xfId="0" applyNumberFormat="1" applyFont="1" applyFill="1" applyBorder="1" applyAlignment="1">
      <alignment horizontal="right" vertical="center"/>
    </xf>
    <xf numFmtId="0" fontId="2" fillId="2" borderId="43" xfId="0" applyFont="1" applyFill="1" applyBorder="1" applyAlignment="1">
      <alignment horizontal="center" vertical="center" wrapText="1"/>
    </xf>
    <xf numFmtId="7" fontId="3" fillId="4" borderId="26" xfId="0" applyNumberFormat="1" applyFont="1" applyFill="1" applyBorder="1" applyAlignment="1">
      <alignment horizontal="right" vertical="center"/>
    </xf>
    <xf numFmtId="7" fontId="3" fillId="4" borderId="27" xfId="0" applyNumberFormat="1" applyFont="1" applyFill="1" applyBorder="1" applyAlignment="1">
      <alignment horizontal="right" vertical="center"/>
    </xf>
    <xf numFmtId="0" fontId="12" fillId="0" borderId="0" xfId="0" applyFont="1"/>
    <xf numFmtId="0" fontId="11" fillId="8" borderId="27" xfId="5" applyBorder="1"/>
    <xf numFmtId="0" fontId="0" fillId="9" borderId="26" xfId="0" applyFill="1" applyBorder="1" applyAlignment="1">
      <alignment horizontal="center" vertical="center"/>
    </xf>
    <xf numFmtId="164" fontId="0" fillId="0" borderId="26" xfId="0" applyNumberFormat="1" applyBorder="1"/>
    <xf numFmtId="164" fontId="0" fillId="9" borderId="26" xfId="0" applyNumberFormat="1" applyFill="1" applyBorder="1" applyAlignment="1">
      <alignment horizontal="center" vertical="center"/>
    </xf>
    <xf numFmtId="10" fontId="0" fillId="10" borderId="26" xfId="4" applyNumberFormat="1" applyFont="1" applyFill="1" applyBorder="1" applyAlignment="1">
      <alignment horizontal="center" vertical="center"/>
    </xf>
    <xf numFmtId="10" fontId="0" fillId="10" borderId="24" xfId="4" applyNumberFormat="1" applyFont="1" applyFill="1" applyBorder="1" applyAlignment="1">
      <alignment horizontal="center" vertical="center"/>
    </xf>
    <xf numFmtId="0" fontId="10" fillId="7" borderId="1" xfId="0" applyFont="1" applyFill="1" applyBorder="1" applyAlignment="1">
      <alignment horizontal="left"/>
    </xf>
    <xf numFmtId="0" fontId="10" fillId="7" borderId="1" xfId="0" applyFont="1" applyFill="1" applyBorder="1" applyAlignment="1">
      <alignment horizontal="center" vertical="center"/>
    </xf>
    <xf numFmtId="0" fontId="0" fillId="0" borderId="1" xfId="0" applyNumberFormat="1" applyBorder="1"/>
    <xf numFmtId="10" fontId="0" fillId="0" borderId="1" xfId="4" applyNumberFormat="1" applyFont="1" applyBorder="1"/>
    <xf numFmtId="0" fontId="10" fillId="7" borderId="0" xfId="0" applyFont="1" applyFill="1"/>
    <xf numFmtId="0" fontId="12" fillId="11" borderId="1" xfId="0" applyNumberFormat="1" applyFont="1" applyFill="1" applyBorder="1" applyAlignment="1">
      <alignment horizontal="center" vertical="center"/>
    </xf>
    <xf numFmtId="164" fontId="12" fillId="11" borderId="1" xfId="0" applyNumberFormat="1" applyFont="1" applyFill="1" applyBorder="1" applyAlignment="1">
      <alignment horizontal="center" vertical="center"/>
    </xf>
    <xf numFmtId="10" fontId="12" fillId="11" borderId="1" xfId="4" applyNumberFormat="1" applyFont="1" applyFill="1" applyBorder="1" applyAlignment="1">
      <alignment horizontal="center" vertical="center"/>
    </xf>
    <xf numFmtId="10" fontId="12" fillId="11" borderId="1" xfId="0" applyNumberFormat="1" applyFont="1" applyFill="1" applyBorder="1" applyAlignment="1">
      <alignment horizontal="center" vertical="center"/>
    </xf>
    <xf numFmtId="0" fontId="0" fillId="0" borderId="1" xfId="0" applyBorder="1" applyAlignment="1">
      <alignment horizontal="center" vertical="center"/>
    </xf>
    <xf numFmtId="10" fontId="0" fillId="0" borderId="0" xfId="4" applyNumberFormat="1" applyFont="1" applyBorder="1" applyAlignment="1">
      <alignment horizontal="center" vertical="center"/>
    </xf>
    <xf numFmtId="10" fontId="0" fillId="0" borderId="0" xfId="4" applyNumberFormat="1" applyFont="1" applyFill="1" applyBorder="1" applyAlignment="1">
      <alignment horizontal="center" vertical="center"/>
    </xf>
    <xf numFmtId="164" fontId="0" fillId="0" borderId="0" xfId="0" applyNumberFormat="1" applyBorder="1"/>
    <xf numFmtId="164" fontId="0" fillId="0" borderId="22" xfId="0" applyNumberFormat="1" applyBorder="1"/>
    <xf numFmtId="164" fontId="0" fillId="0" borderId="0" xfId="4" applyNumberFormat="1" applyFont="1" applyBorder="1"/>
    <xf numFmtId="9" fontId="0" fillId="0" borderId="1" xfId="4" applyFont="1" applyBorder="1"/>
    <xf numFmtId="0" fontId="0" fillId="5" borderId="1" xfId="0" applyFill="1" applyBorder="1" applyAlignment="1">
      <alignment horizontal="center" vertical="center"/>
    </xf>
    <xf numFmtId="10" fontId="0" fillId="5" borderId="1" xfId="4" applyNumberFormat="1" applyFont="1" applyFill="1" applyBorder="1" applyAlignment="1">
      <alignment horizontal="center" vertical="center"/>
    </xf>
    <xf numFmtId="169" fontId="0" fillId="0" borderId="0" xfId="4" applyNumberFormat="1" applyFont="1" applyBorder="1"/>
    <xf numFmtId="7" fontId="0" fillId="0" borderId="0" xfId="0" applyNumberFormat="1" applyBorder="1"/>
    <xf numFmtId="10" fontId="0" fillId="0" borderId="31" xfId="4" applyNumberFormat="1" applyFont="1" applyBorder="1" applyAlignment="1">
      <alignment horizontal="center" vertical="center"/>
    </xf>
    <xf numFmtId="0" fontId="10" fillId="3" borderId="0" xfId="0" applyFont="1" applyFill="1" applyAlignment="1">
      <alignment vertical="center"/>
    </xf>
    <xf numFmtId="0" fontId="10" fillId="7" borderId="1" xfId="0" applyFont="1" applyFill="1" applyBorder="1"/>
    <xf numFmtId="164" fontId="0" fillId="0" borderId="26" xfId="4" applyNumberFormat="1" applyFont="1" applyBorder="1"/>
    <xf numFmtId="0" fontId="0" fillId="0" borderId="18" xfId="0" applyBorder="1"/>
    <xf numFmtId="0" fontId="0" fillId="0" borderId="21" xfId="0" applyFill="1" applyBorder="1"/>
    <xf numFmtId="0" fontId="0" fillId="0" borderId="15" xfId="0" applyBorder="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xf numFmtId="0" fontId="0" fillId="0" borderId="16" xfId="0" applyBorder="1" applyAlignment="1">
      <alignment horizontal="center" vertical="center"/>
    </xf>
    <xf numFmtId="0" fontId="0" fillId="0" borderId="7" xfId="0" applyBorder="1" applyAlignment="1">
      <alignment horizontal="center" vertical="center"/>
    </xf>
    <xf numFmtId="0" fontId="0" fillId="0" borderId="17"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3" fillId="3" borderId="3" xfId="0" applyFont="1" applyFill="1" applyBorder="1" applyAlignment="1">
      <alignment horizontal="center" vertical="center"/>
    </xf>
    <xf numFmtId="0" fontId="0" fillId="0" borderId="0" xfId="0" applyAlignment="1">
      <alignment horizontal="center"/>
    </xf>
    <xf numFmtId="7" fontId="0" fillId="0" borderId="0" xfId="0" applyNumberFormat="1" applyAlignment="1">
      <alignment horizontal="center"/>
    </xf>
    <xf numFmtId="167" fontId="0" fillId="0" borderId="1" xfId="4" applyNumberFormat="1" applyFont="1" applyBorder="1"/>
    <xf numFmtId="2" fontId="0" fillId="0" borderId="0" xfId="0" applyNumberFormat="1"/>
    <xf numFmtId="2" fontId="10" fillId="7" borderId="1" xfId="0" applyNumberFormat="1" applyFont="1" applyFill="1" applyBorder="1"/>
    <xf numFmtId="0" fontId="10" fillId="7" borderId="12" xfId="0" applyFont="1" applyFill="1" applyBorder="1"/>
    <xf numFmtId="2" fontId="10" fillId="7" borderId="13" xfId="0" applyNumberFormat="1" applyFont="1" applyFill="1" applyBorder="1"/>
    <xf numFmtId="0" fontId="10" fillId="7" borderId="13" xfId="0" applyFont="1" applyFill="1" applyBorder="1"/>
    <xf numFmtId="0" fontId="10" fillId="7" borderId="14" xfId="0" applyFont="1" applyFill="1" applyBorder="1"/>
    <xf numFmtId="44" fontId="0" fillId="0" borderId="1" xfId="6" applyFont="1" applyBorder="1"/>
    <xf numFmtId="0" fontId="0" fillId="0" borderId="0" xfId="0" applyBorder="1" applyAlignment="1">
      <alignment horizontal="center" vertical="center"/>
    </xf>
    <xf numFmtId="0" fontId="3" fillId="3" borderId="0" xfId="0" applyFont="1" applyFill="1" applyBorder="1" applyAlignment="1">
      <alignment horizontal="center" vertical="center"/>
    </xf>
    <xf numFmtId="2" fontId="0" fillId="0" borderId="0" xfId="0" applyNumberFormat="1" applyBorder="1" applyAlignment="1">
      <alignment horizontal="center" vertical="center"/>
    </xf>
    <xf numFmtId="0" fontId="14" fillId="2" borderId="18" xfId="0" applyFont="1" applyFill="1" applyBorder="1" applyAlignment="1">
      <alignment horizontal="center" vertical="center" wrapText="1"/>
    </xf>
    <xf numFmtId="0" fontId="15" fillId="0" borderId="0" xfId="0" applyFont="1"/>
    <xf numFmtId="0" fontId="15" fillId="0" borderId="33" xfId="0" applyFont="1" applyFill="1" applyBorder="1"/>
    <xf numFmtId="0" fontId="15" fillId="4" borderId="31" xfId="0" applyFont="1" applyFill="1" applyBorder="1" applyAlignment="1">
      <alignment horizontal="left" vertical="center"/>
    </xf>
    <xf numFmtId="0" fontId="15" fillId="4" borderId="27" xfId="0" applyFont="1" applyFill="1" applyBorder="1" applyAlignment="1">
      <alignment horizontal="left" vertical="center"/>
    </xf>
    <xf numFmtId="0" fontId="15" fillId="0" borderId="48" xfId="0" applyFont="1" applyFill="1" applyBorder="1"/>
    <xf numFmtId="0" fontId="15" fillId="0" borderId="34" xfId="0" applyFont="1" applyBorder="1"/>
    <xf numFmtId="0" fontId="14" fillId="2" borderId="53" xfId="0" applyFont="1" applyFill="1" applyBorder="1" applyAlignment="1">
      <alignment horizontal="center" vertical="center" wrapText="1"/>
    </xf>
    <xf numFmtId="0" fontId="15" fillId="0" borderId="56" xfId="0" applyFont="1" applyFill="1" applyBorder="1"/>
    <xf numFmtId="0" fontId="15" fillId="0" borderId="57" xfId="0" applyFont="1" applyFill="1" applyBorder="1"/>
    <xf numFmtId="168" fontId="17" fillId="4" borderId="7" xfId="0" applyNumberFormat="1" applyFont="1" applyFill="1" applyBorder="1" applyAlignment="1">
      <alignment horizontal="center" vertical="center"/>
    </xf>
    <xf numFmtId="168" fontId="17" fillId="3" borderId="4" xfId="0" applyNumberFormat="1" applyFont="1" applyFill="1" applyBorder="1" applyAlignment="1">
      <alignment horizontal="center" vertical="center"/>
    </xf>
    <xf numFmtId="168" fontId="17" fillId="4" borderId="6" xfId="0" applyNumberFormat="1" applyFont="1" applyFill="1" applyBorder="1" applyAlignment="1">
      <alignment horizontal="center" vertical="center"/>
    </xf>
    <xf numFmtId="168" fontId="17" fillId="4" borderId="14" xfId="0" applyNumberFormat="1" applyFont="1" applyFill="1" applyBorder="1" applyAlignment="1">
      <alignment horizontal="center" vertical="center"/>
    </xf>
    <xf numFmtId="168" fontId="17" fillId="4" borderId="17" xfId="0" applyNumberFormat="1" applyFont="1" applyFill="1" applyBorder="1" applyAlignment="1">
      <alignment horizontal="center" vertical="center"/>
    </xf>
    <xf numFmtId="168" fontId="17" fillId="3" borderId="8" xfId="0" applyNumberFormat="1" applyFont="1" applyFill="1" applyBorder="1" applyAlignment="1">
      <alignment horizontal="center" vertical="center"/>
    </xf>
    <xf numFmtId="0" fontId="15" fillId="0" borderId="0" xfId="0" applyFont="1" applyAlignment="1">
      <alignment horizontal="center"/>
    </xf>
    <xf numFmtId="5" fontId="17" fillId="4" borderId="8" xfId="0" applyNumberFormat="1" applyFont="1" applyFill="1" applyBorder="1" applyAlignment="1">
      <alignment horizontal="center" vertical="center"/>
    </xf>
    <xf numFmtId="5" fontId="17" fillId="3" borderId="47" xfId="0" applyNumberFormat="1" applyFont="1" applyFill="1" applyBorder="1" applyAlignment="1">
      <alignment horizontal="center" vertical="center"/>
    </xf>
    <xf numFmtId="5" fontId="17" fillId="4" borderId="17" xfId="0" applyNumberFormat="1" applyFont="1" applyFill="1" applyBorder="1" applyAlignment="1">
      <alignment horizontal="center" vertical="center"/>
    </xf>
    <xf numFmtId="0" fontId="15" fillId="4" borderId="34" xfId="0" applyFont="1" applyFill="1" applyBorder="1" applyAlignment="1">
      <alignment horizontal="left" vertical="center"/>
    </xf>
    <xf numFmtId="0" fontId="15" fillId="4" borderId="58" xfId="0" applyFont="1" applyFill="1" applyBorder="1" applyAlignment="1">
      <alignment horizontal="left" vertical="center"/>
    </xf>
    <xf numFmtId="168" fontId="17" fillId="3" borderId="6" xfId="0" applyNumberFormat="1" applyFont="1" applyFill="1" applyBorder="1" applyAlignment="1">
      <alignment horizontal="center" vertical="center"/>
    </xf>
    <xf numFmtId="0" fontId="15" fillId="0" borderId="0" xfId="0" applyFont="1" applyFill="1" applyBorder="1"/>
    <xf numFmtId="0" fontId="15" fillId="0" borderId="0" xfId="0" applyFont="1" applyFill="1" applyBorder="1" applyAlignment="1">
      <alignment horizontal="left" vertical="center"/>
    </xf>
    <xf numFmtId="0" fontId="15" fillId="0" borderId="21" xfId="0" applyFont="1" applyFill="1" applyBorder="1"/>
    <xf numFmtId="5" fontId="17" fillId="4" borderId="6" xfId="0" applyNumberFormat="1" applyFont="1" applyFill="1" applyBorder="1" applyAlignment="1">
      <alignment horizontal="center" vertical="center"/>
    </xf>
    <xf numFmtId="5" fontId="17" fillId="4" borderId="7" xfId="0" applyNumberFormat="1" applyFont="1" applyFill="1" applyBorder="1" applyAlignment="1">
      <alignment horizontal="center" vertical="center"/>
    </xf>
    <xf numFmtId="168" fontId="17" fillId="3" borderId="51" xfId="0" applyNumberFormat="1" applyFont="1" applyFill="1" applyBorder="1" applyAlignment="1">
      <alignment horizontal="center" vertical="center"/>
    </xf>
    <xf numFmtId="168" fontId="17" fillId="3" borderId="7" xfId="0" applyNumberFormat="1" applyFont="1" applyFill="1" applyBorder="1" applyAlignment="1">
      <alignment horizontal="center" vertical="center"/>
    </xf>
    <xf numFmtId="0" fontId="15" fillId="0" borderId="30" xfId="0" applyFont="1" applyBorder="1"/>
    <xf numFmtId="168" fontId="17" fillId="3" borderId="46" xfId="0" applyNumberFormat="1" applyFont="1" applyFill="1" applyBorder="1" applyAlignment="1">
      <alignment horizontal="center" vertical="center"/>
    </xf>
    <xf numFmtId="168" fontId="17" fillId="3" borderId="17" xfId="0" applyNumberFormat="1" applyFont="1" applyFill="1" applyBorder="1" applyAlignment="1">
      <alignment horizontal="center" vertical="center"/>
    </xf>
    <xf numFmtId="0" fontId="15" fillId="0" borderId="58" xfId="0" applyFont="1" applyBorder="1"/>
    <xf numFmtId="5" fontId="17" fillId="3" borderId="0" xfId="0" applyNumberFormat="1" applyFont="1" applyFill="1" applyBorder="1" applyAlignment="1">
      <alignment horizontal="center" vertical="center"/>
    </xf>
    <xf numFmtId="5" fontId="17" fillId="4" borderId="38" xfId="0" applyNumberFormat="1" applyFont="1" applyFill="1" applyBorder="1" applyAlignment="1">
      <alignment horizontal="center" vertical="center"/>
    </xf>
    <xf numFmtId="5" fontId="17" fillId="3" borderId="38" xfId="0" applyNumberFormat="1" applyFont="1" applyFill="1" applyBorder="1" applyAlignment="1">
      <alignment horizontal="center" vertical="center"/>
    </xf>
    <xf numFmtId="0" fontId="18" fillId="0" borderId="30" xfId="0" applyFont="1" applyBorder="1" applyAlignment="1">
      <alignment horizontal="center" vertical="center"/>
    </xf>
    <xf numFmtId="0" fontId="18" fillId="0" borderId="58" xfId="0" applyFont="1" applyBorder="1" applyAlignment="1">
      <alignment horizontal="center" vertical="center"/>
    </xf>
    <xf numFmtId="0" fontId="18" fillId="4" borderId="58" xfId="0" applyFont="1" applyFill="1" applyBorder="1" applyAlignment="1">
      <alignment horizontal="center" vertical="center"/>
    </xf>
    <xf numFmtId="0" fontId="18" fillId="0" borderId="31" xfId="0" applyFont="1" applyBorder="1" applyAlignment="1">
      <alignment horizontal="center" vertical="center"/>
    </xf>
    <xf numFmtId="0" fontId="18" fillId="4" borderId="34" xfId="0" applyFont="1" applyFill="1" applyBorder="1" applyAlignment="1">
      <alignment horizontal="center" vertical="center"/>
    </xf>
    <xf numFmtId="0" fontId="18" fillId="4" borderId="31" xfId="0" applyFont="1" applyFill="1" applyBorder="1" applyAlignment="1">
      <alignment horizontal="center" vertical="center"/>
    </xf>
    <xf numFmtId="0" fontId="14" fillId="2" borderId="54" xfId="0" applyFont="1" applyFill="1" applyBorder="1" applyAlignment="1">
      <alignment vertical="center" wrapText="1"/>
    </xf>
    <xf numFmtId="0" fontId="14" fillId="2" borderId="52" xfId="0" applyFont="1" applyFill="1" applyBorder="1" applyAlignment="1">
      <alignment vertical="center" wrapText="1"/>
    </xf>
    <xf numFmtId="168" fontId="17" fillId="3" borderId="14" xfId="0" applyNumberFormat="1" applyFont="1" applyFill="1" applyBorder="1" applyAlignment="1">
      <alignment horizontal="center" vertical="center"/>
    </xf>
    <xf numFmtId="5" fontId="17" fillId="4" borderId="4" xfId="0" applyNumberFormat="1" applyFont="1" applyFill="1" applyBorder="1" applyAlignment="1">
      <alignment horizontal="center" vertical="center"/>
    </xf>
    <xf numFmtId="0" fontId="19" fillId="0" borderId="30" xfId="0" applyFont="1" applyBorder="1" applyAlignment="1">
      <alignment horizontal="center" vertical="center"/>
    </xf>
    <xf numFmtId="168" fontId="15" fillId="3" borderId="46" xfId="0" applyNumberFormat="1" applyFont="1" applyFill="1" applyBorder="1" applyAlignment="1">
      <alignment horizontal="center" vertical="center"/>
    </xf>
    <xf numFmtId="168" fontId="15" fillId="3" borderId="51" xfId="0" applyNumberFormat="1" applyFont="1" applyFill="1" applyBorder="1" applyAlignment="1">
      <alignment horizontal="center" vertical="center"/>
    </xf>
    <xf numFmtId="168" fontId="15" fillId="3" borderId="45" xfId="0" applyNumberFormat="1" applyFont="1" applyFill="1" applyBorder="1" applyAlignment="1">
      <alignment horizontal="center" vertical="center"/>
    </xf>
    <xf numFmtId="0" fontId="19" fillId="0" borderId="58" xfId="0" applyFont="1" applyBorder="1" applyAlignment="1">
      <alignment horizontal="center" vertical="center"/>
    </xf>
    <xf numFmtId="168" fontId="15" fillId="3" borderId="17" xfId="0" applyNumberFormat="1" applyFont="1" applyFill="1" applyBorder="1" applyAlignment="1">
      <alignment horizontal="center" vertical="center"/>
    </xf>
    <xf numFmtId="168" fontId="15" fillId="3" borderId="7" xfId="0" applyNumberFormat="1" applyFont="1" applyFill="1" applyBorder="1" applyAlignment="1">
      <alignment horizontal="center" vertical="center"/>
    </xf>
    <xf numFmtId="168" fontId="15" fillId="3" borderId="55" xfId="0" applyNumberFormat="1" applyFont="1" applyFill="1" applyBorder="1" applyAlignment="1">
      <alignment horizontal="center" vertical="center"/>
    </xf>
    <xf numFmtId="0" fontId="19" fillId="4" borderId="33" xfId="0" applyFont="1" applyFill="1" applyBorder="1" applyAlignment="1">
      <alignment horizontal="center" vertical="center"/>
    </xf>
    <xf numFmtId="168" fontId="15" fillId="4" borderId="3" xfId="0" applyNumberFormat="1" applyFont="1" applyFill="1" applyBorder="1" applyAlignment="1">
      <alignment horizontal="center" vertical="center"/>
    </xf>
    <xf numFmtId="168" fontId="15" fillId="4" borderId="1" xfId="0" applyNumberFormat="1" applyFont="1" applyFill="1" applyBorder="1" applyAlignment="1">
      <alignment horizontal="center" vertical="center"/>
    </xf>
    <xf numFmtId="168" fontId="15" fillId="4" borderId="29" xfId="0" applyNumberFormat="1" applyFont="1" applyFill="1" applyBorder="1" applyAlignment="1">
      <alignment horizontal="center" vertical="center"/>
    </xf>
    <xf numFmtId="0" fontId="19" fillId="0" borderId="33" xfId="0" applyFont="1" applyBorder="1" applyAlignment="1">
      <alignment horizontal="center" vertical="center"/>
    </xf>
    <xf numFmtId="168" fontId="15" fillId="3" borderId="3" xfId="0" applyNumberFormat="1" applyFont="1" applyFill="1" applyBorder="1" applyAlignment="1">
      <alignment horizontal="center" vertical="center"/>
    </xf>
    <xf numFmtId="168" fontId="15" fillId="3" borderId="1" xfId="0" applyNumberFormat="1" applyFont="1" applyFill="1" applyBorder="1" applyAlignment="1">
      <alignment horizontal="center" vertical="center"/>
    </xf>
    <xf numFmtId="168" fontId="15" fillId="3" borderId="29" xfId="0" applyNumberFormat="1" applyFont="1" applyFill="1" applyBorder="1" applyAlignment="1">
      <alignment horizontal="center" vertical="center"/>
    </xf>
    <xf numFmtId="0" fontId="19" fillId="4" borderId="58" xfId="0" applyFont="1" applyFill="1" applyBorder="1" applyAlignment="1">
      <alignment horizontal="center" vertical="center"/>
    </xf>
    <xf numFmtId="168" fontId="15" fillId="4" borderId="17" xfId="0" applyNumberFormat="1" applyFont="1" applyFill="1" applyBorder="1" applyAlignment="1">
      <alignment horizontal="center" vertical="center"/>
    </xf>
    <xf numFmtId="168" fontId="15" fillId="4" borderId="7" xfId="0" applyNumberFormat="1" applyFont="1" applyFill="1" applyBorder="1" applyAlignment="1">
      <alignment horizontal="center" vertical="center"/>
    </xf>
    <xf numFmtId="168" fontId="15" fillId="4" borderId="55" xfId="0" applyNumberFormat="1" applyFont="1" applyFill="1" applyBorder="1" applyAlignment="1">
      <alignment horizontal="center" vertical="center"/>
    </xf>
    <xf numFmtId="0" fontId="19" fillId="0" borderId="31" xfId="0" applyFont="1" applyBorder="1" applyAlignment="1">
      <alignment horizontal="center" vertical="center"/>
    </xf>
    <xf numFmtId="168" fontId="15" fillId="3" borderId="8" xfId="0" applyNumberFormat="1" applyFont="1" applyFill="1" applyBorder="1" applyAlignment="1">
      <alignment horizontal="center" vertical="center"/>
    </xf>
    <xf numFmtId="168" fontId="15" fillId="3" borderId="4" xfId="0" applyNumberFormat="1" applyFont="1" applyFill="1" applyBorder="1" applyAlignment="1">
      <alignment horizontal="center" vertical="center"/>
    </xf>
    <xf numFmtId="168" fontId="15" fillId="3" borderId="38" xfId="0" applyNumberFormat="1" applyFont="1" applyFill="1" applyBorder="1" applyAlignment="1">
      <alignment horizontal="center" vertical="center"/>
    </xf>
    <xf numFmtId="0" fontId="19" fillId="4" borderId="34" xfId="0" applyFont="1" applyFill="1" applyBorder="1" applyAlignment="1">
      <alignment horizontal="center" vertical="center"/>
    </xf>
    <xf numFmtId="168" fontId="15" fillId="4" borderId="14" xfId="0" applyNumberFormat="1" applyFont="1" applyFill="1" applyBorder="1" applyAlignment="1">
      <alignment horizontal="center" vertical="center"/>
    </xf>
    <xf numFmtId="168" fontId="15" fillId="4" borderId="6" xfId="0" applyNumberFormat="1" applyFont="1" applyFill="1" applyBorder="1" applyAlignment="1">
      <alignment horizontal="center" vertical="center"/>
    </xf>
    <xf numFmtId="168" fontId="15" fillId="4" borderId="41" xfId="0" applyNumberFormat="1" applyFont="1" applyFill="1" applyBorder="1" applyAlignment="1">
      <alignment horizontal="center" vertical="center"/>
    </xf>
    <xf numFmtId="0" fontId="19" fillId="4" borderId="27" xfId="0" applyFont="1" applyFill="1" applyBorder="1" applyAlignment="1">
      <alignment horizontal="center" vertical="center"/>
    </xf>
    <xf numFmtId="168" fontId="15" fillId="4" borderId="47" xfId="0" applyNumberFormat="1" applyFont="1" applyFill="1" applyBorder="1" applyAlignment="1">
      <alignment horizontal="center" vertical="center"/>
    </xf>
    <xf numFmtId="168" fontId="15" fillId="4" borderId="39" xfId="0" applyNumberFormat="1" applyFont="1" applyFill="1" applyBorder="1" applyAlignment="1">
      <alignment horizontal="center" vertical="center"/>
    </xf>
    <xf numFmtId="168" fontId="15" fillId="4" borderId="40" xfId="0" applyNumberFormat="1" applyFont="1" applyFill="1" applyBorder="1" applyAlignment="1">
      <alignment horizontal="center" vertical="center"/>
    </xf>
    <xf numFmtId="168" fontId="15" fillId="4" borderId="5" xfId="0" applyNumberFormat="1" applyFont="1" applyFill="1" applyBorder="1" applyAlignment="1">
      <alignment horizontal="center" vertical="center"/>
    </xf>
    <xf numFmtId="168" fontId="15" fillId="4" borderId="61" xfId="0" applyNumberFormat="1" applyFont="1" applyFill="1" applyBorder="1" applyAlignment="1">
      <alignment horizontal="center" vertical="center"/>
    </xf>
    <xf numFmtId="168" fontId="15" fillId="3" borderId="61" xfId="0" applyNumberFormat="1" applyFont="1" applyFill="1" applyBorder="1" applyAlignment="1">
      <alignment horizontal="center" vertical="center"/>
    </xf>
    <xf numFmtId="0" fontId="19" fillId="4" borderId="31" xfId="0" applyFont="1" applyFill="1" applyBorder="1" applyAlignment="1">
      <alignment horizontal="center" vertical="center"/>
    </xf>
    <xf numFmtId="168" fontId="15" fillId="3" borderId="6" xfId="0" applyNumberFormat="1" applyFont="1" applyFill="1" applyBorder="1" applyAlignment="1">
      <alignment horizontal="center" vertical="center"/>
    </xf>
    <xf numFmtId="168" fontId="15" fillId="3" borderId="41" xfId="0" applyNumberFormat="1" applyFont="1" applyFill="1" applyBorder="1" applyAlignment="1">
      <alignment horizontal="center" vertical="center"/>
    </xf>
    <xf numFmtId="0" fontId="20" fillId="2" borderId="62" xfId="0" applyFont="1" applyFill="1" applyBorder="1" applyAlignment="1">
      <alignment horizontal="center" vertical="center" wrapText="1"/>
    </xf>
    <xf numFmtId="0" fontId="20" fillId="2" borderId="52" xfId="0" applyFont="1" applyFill="1" applyBorder="1" applyAlignment="1">
      <alignment horizontal="center" vertical="center" wrapText="1"/>
    </xf>
    <xf numFmtId="0" fontId="15" fillId="0" borderId="0" xfId="0" applyFont="1" applyFill="1"/>
    <xf numFmtId="0" fontId="15" fillId="0" borderId="33" xfId="0" applyFont="1" applyBorder="1"/>
    <xf numFmtId="0" fontId="15" fillId="4" borderId="33" xfId="0" applyFont="1" applyFill="1" applyBorder="1" applyAlignment="1">
      <alignment horizontal="left" vertical="center"/>
    </xf>
    <xf numFmtId="0" fontId="19" fillId="0" borderId="0" xfId="0" applyFont="1" applyFill="1" applyBorder="1" applyAlignment="1">
      <alignment horizontal="center" vertical="center"/>
    </xf>
    <xf numFmtId="168" fontId="15" fillId="0" borderId="0" xfId="0" applyNumberFormat="1" applyFont="1" applyFill="1" applyBorder="1" applyAlignment="1">
      <alignment horizontal="center" vertical="center"/>
    </xf>
    <xf numFmtId="168" fontId="17" fillId="0" borderId="0" xfId="0" applyNumberFormat="1" applyFont="1" applyFill="1" applyBorder="1" applyAlignment="1">
      <alignment horizontal="center" vertical="center"/>
    </xf>
    <xf numFmtId="168" fontId="15" fillId="3" borderId="28" xfId="0" applyNumberFormat="1" applyFont="1" applyFill="1" applyBorder="1" applyAlignment="1">
      <alignment horizontal="center" vertical="center"/>
    </xf>
    <xf numFmtId="0" fontId="20" fillId="2" borderId="18" xfId="0" applyFont="1" applyFill="1" applyBorder="1" applyAlignment="1">
      <alignment horizontal="center" vertical="center" wrapText="1"/>
    </xf>
    <xf numFmtId="0" fontId="17" fillId="0" borderId="0" xfId="0" applyFont="1" applyBorder="1" applyAlignment="1">
      <alignment horizontal="center" vertical="center"/>
    </xf>
    <xf numFmtId="0" fontId="21" fillId="0" borderId="0" xfId="0" applyFont="1" applyBorder="1"/>
    <xf numFmtId="0" fontId="21" fillId="0" borderId="0" xfId="0" applyFont="1"/>
    <xf numFmtId="5" fontId="17" fillId="3" borderId="6" xfId="0" applyNumberFormat="1" applyFont="1" applyFill="1" applyBorder="1" applyAlignment="1">
      <alignment horizontal="center" vertical="center"/>
    </xf>
    <xf numFmtId="5" fontId="17" fillId="3" borderId="4" xfId="0" applyNumberFormat="1" applyFont="1" applyFill="1" applyBorder="1" applyAlignment="1">
      <alignment horizontal="center" vertical="center"/>
    </xf>
    <xf numFmtId="5" fontId="17" fillId="3" borderId="39" xfId="0" applyNumberFormat="1" applyFont="1" applyFill="1" applyBorder="1" applyAlignment="1">
      <alignment horizontal="center" vertical="center"/>
    </xf>
    <xf numFmtId="5" fontId="17" fillId="3" borderId="7" xfId="0" applyNumberFormat="1" applyFont="1" applyFill="1" applyBorder="1" applyAlignment="1">
      <alignment horizontal="center" vertical="center"/>
    </xf>
    <xf numFmtId="0" fontId="20" fillId="2" borderId="63" xfId="0" applyFont="1" applyFill="1" applyBorder="1" applyAlignment="1">
      <alignment horizontal="center" vertical="center" wrapText="1"/>
    </xf>
    <xf numFmtId="0" fontId="15" fillId="4" borderId="56" xfId="0" applyFont="1" applyFill="1" applyBorder="1" applyAlignment="1">
      <alignment horizontal="left" vertical="center"/>
    </xf>
    <xf numFmtId="0" fontId="15" fillId="4" borderId="57" xfId="0" applyFont="1" applyFill="1" applyBorder="1" applyAlignment="1">
      <alignment horizontal="left" vertical="center"/>
    </xf>
    <xf numFmtId="5" fontId="17" fillId="3" borderId="51" xfId="0" applyNumberFormat="1" applyFont="1" applyFill="1" applyBorder="1" applyAlignment="1">
      <alignment horizontal="center" vertical="center"/>
    </xf>
    <xf numFmtId="5" fontId="17" fillId="3" borderId="55" xfId="0" applyNumberFormat="1" applyFont="1" applyFill="1" applyBorder="1" applyAlignment="1">
      <alignment horizontal="center" vertical="center"/>
    </xf>
    <xf numFmtId="5" fontId="17" fillId="4" borderId="41" xfId="0" applyNumberFormat="1" applyFont="1" applyFill="1" applyBorder="1" applyAlignment="1">
      <alignment horizontal="center" vertical="center"/>
    </xf>
    <xf numFmtId="5" fontId="17" fillId="4" borderId="55" xfId="0" applyNumberFormat="1" applyFont="1" applyFill="1" applyBorder="1" applyAlignment="1">
      <alignment horizontal="center" vertical="center"/>
    </xf>
    <xf numFmtId="5" fontId="17" fillId="3" borderId="41" xfId="0" applyNumberFormat="1" applyFont="1" applyFill="1" applyBorder="1" applyAlignment="1">
      <alignment horizontal="center" vertical="center"/>
    </xf>
    <xf numFmtId="5" fontId="17" fillId="3" borderId="45" xfId="0" applyNumberFormat="1" applyFont="1" applyFill="1" applyBorder="1" applyAlignment="1">
      <alignment horizontal="center" vertical="center"/>
    </xf>
    <xf numFmtId="0" fontId="15" fillId="0" borderId="23" xfId="0" applyFont="1" applyFill="1" applyBorder="1"/>
    <xf numFmtId="5" fontId="17" fillId="3" borderId="40" xfId="0" applyNumberFormat="1" applyFont="1" applyFill="1" applyBorder="1" applyAlignment="1">
      <alignment horizontal="center" vertical="center"/>
    </xf>
    <xf numFmtId="168" fontId="15" fillId="3" borderId="14" xfId="0" applyNumberFormat="1" applyFont="1" applyFill="1" applyBorder="1" applyAlignment="1">
      <alignment horizontal="center" vertical="center"/>
    </xf>
    <xf numFmtId="0" fontId="19" fillId="0" borderId="34" xfId="0" applyFont="1" applyBorder="1" applyAlignment="1">
      <alignment horizontal="center" vertical="center"/>
    </xf>
    <xf numFmtId="0" fontId="19" fillId="0" borderId="22" xfId="0" applyFont="1" applyBorder="1" applyAlignment="1">
      <alignment horizontal="center" vertical="center"/>
    </xf>
    <xf numFmtId="0" fontId="19" fillId="4" borderId="59" xfId="0" applyFont="1" applyFill="1" applyBorder="1" applyAlignment="1">
      <alignment horizontal="center" vertical="center"/>
    </xf>
    <xf numFmtId="0" fontId="19" fillId="4" borderId="60" xfId="0" applyFont="1" applyFill="1" applyBorder="1" applyAlignment="1">
      <alignment horizontal="center" vertical="center"/>
    </xf>
    <xf numFmtId="0" fontId="19" fillId="0" borderId="59" xfId="0" applyFont="1" applyBorder="1" applyAlignment="1">
      <alignment horizontal="center" vertical="center"/>
    </xf>
    <xf numFmtId="0" fontId="19" fillId="0" borderId="24" xfId="0" applyFont="1" applyBorder="1" applyAlignment="1">
      <alignment horizontal="center" vertical="center"/>
    </xf>
    <xf numFmtId="5" fontId="17" fillId="3" borderId="46" xfId="0" applyNumberFormat="1" applyFont="1" applyFill="1" applyBorder="1" applyAlignment="1">
      <alignment horizontal="center" vertical="center"/>
    </xf>
    <xf numFmtId="5" fontId="17" fillId="3" borderId="17" xfId="0" applyNumberFormat="1" applyFont="1" applyFill="1" applyBorder="1" applyAlignment="1">
      <alignment horizontal="center" vertical="center"/>
    </xf>
    <xf numFmtId="5" fontId="17" fillId="3" borderId="14" xfId="0" applyNumberFormat="1" applyFont="1" applyFill="1" applyBorder="1" applyAlignment="1">
      <alignment horizontal="center" vertical="center"/>
    </xf>
    <xf numFmtId="0" fontId="18" fillId="0" borderId="34" xfId="0" applyFont="1" applyBorder="1" applyAlignment="1">
      <alignment horizontal="center" vertical="center"/>
    </xf>
    <xf numFmtId="0" fontId="18" fillId="0" borderId="27" xfId="0" applyFont="1" applyBorder="1" applyAlignment="1">
      <alignment horizontal="center" vertical="center"/>
    </xf>
    <xf numFmtId="0" fontId="17" fillId="0" borderId="0" xfId="0" applyFont="1" applyFill="1" applyBorder="1" applyAlignment="1">
      <alignment horizontal="center" vertical="center"/>
    </xf>
    <xf numFmtId="5" fontId="17" fillId="0" borderId="0" xfId="0" applyNumberFormat="1" applyFont="1" applyFill="1" applyBorder="1" applyAlignment="1">
      <alignment horizontal="center" vertical="center"/>
    </xf>
    <xf numFmtId="5" fontId="15" fillId="12" borderId="1" xfId="0" applyNumberFormat="1" applyFont="1" applyFill="1" applyBorder="1" applyAlignment="1">
      <alignment horizontal="center" vertical="center"/>
    </xf>
    <xf numFmtId="5" fontId="15" fillId="12" borderId="29" xfId="0" applyNumberFormat="1" applyFont="1" applyFill="1" applyBorder="1" applyAlignment="1">
      <alignment horizontal="center" vertical="center"/>
    </xf>
    <xf numFmtId="5" fontId="15" fillId="3" borderId="1" xfId="0" applyNumberFormat="1" applyFont="1" applyFill="1" applyBorder="1" applyAlignment="1">
      <alignment horizontal="center" vertical="center"/>
    </xf>
    <xf numFmtId="5" fontId="15" fillId="4" borderId="6" xfId="0" applyNumberFormat="1" applyFont="1" applyFill="1" applyBorder="1" applyAlignment="1">
      <alignment horizontal="center" vertical="center"/>
    </xf>
    <xf numFmtId="5" fontId="15" fillId="4" borderId="41" xfId="0" applyNumberFormat="1" applyFont="1" applyFill="1" applyBorder="1" applyAlignment="1">
      <alignment horizontal="center" vertical="center"/>
    </xf>
    <xf numFmtId="5" fontId="15" fillId="4" borderId="7" xfId="0" applyNumberFormat="1" applyFont="1" applyFill="1" applyBorder="1" applyAlignment="1">
      <alignment horizontal="center" vertical="center"/>
    </xf>
    <xf numFmtId="5" fontId="15" fillId="4" borderId="55" xfId="0" applyNumberFormat="1" applyFont="1" applyFill="1" applyBorder="1" applyAlignment="1">
      <alignment horizontal="center" vertical="center"/>
    </xf>
    <xf numFmtId="0" fontId="19" fillId="0" borderId="31" xfId="0" applyFont="1" applyFill="1" applyBorder="1" applyAlignment="1">
      <alignment horizontal="center" vertical="center"/>
    </xf>
    <xf numFmtId="5" fontId="15" fillId="0" borderId="8" xfId="0" applyNumberFormat="1" applyFont="1" applyFill="1" applyBorder="1" applyAlignment="1">
      <alignment horizontal="center" vertical="center"/>
    </xf>
    <xf numFmtId="5" fontId="15" fillId="0" borderId="22" xfId="0" applyNumberFormat="1" applyFont="1" applyFill="1" applyBorder="1" applyAlignment="1">
      <alignment horizontal="center" vertical="center"/>
    </xf>
    <xf numFmtId="5" fontId="15" fillId="0" borderId="6" xfId="0" applyNumberFormat="1" applyFont="1" applyFill="1" applyBorder="1" applyAlignment="1">
      <alignment horizontal="center" vertical="center"/>
    </xf>
    <xf numFmtId="5" fontId="15" fillId="0" borderId="41" xfId="0" applyNumberFormat="1" applyFont="1" applyFill="1" applyBorder="1" applyAlignment="1">
      <alignment horizontal="center" vertical="center"/>
    </xf>
    <xf numFmtId="5" fontId="15" fillId="0" borderId="4" xfId="0" applyNumberFormat="1" applyFont="1" applyFill="1" applyBorder="1" applyAlignment="1">
      <alignment horizontal="center" vertical="center"/>
    </xf>
    <xf numFmtId="5" fontId="15" fillId="0" borderId="38" xfId="0" applyNumberFormat="1" applyFont="1" applyFill="1" applyBorder="1" applyAlignment="1">
      <alignment horizontal="center" vertical="center"/>
    </xf>
    <xf numFmtId="5" fontId="15" fillId="0" borderId="7" xfId="0" applyNumberFormat="1" applyFont="1" applyFill="1" applyBorder="1" applyAlignment="1">
      <alignment horizontal="center" vertical="center"/>
    </xf>
    <xf numFmtId="5" fontId="15" fillId="0" borderId="55" xfId="0" applyNumberFormat="1" applyFont="1" applyFill="1" applyBorder="1" applyAlignment="1">
      <alignment horizontal="center" vertical="center"/>
    </xf>
    <xf numFmtId="5" fontId="15" fillId="3" borderId="6" xfId="0" applyNumberFormat="1" applyFont="1" applyFill="1" applyBorder="1" applyAlignment="1">
      <alignment horizontal="center" vertical="center"/>
    </xf>
    <xf numFmtId="5" fontId="15" fillId="3" borderId="41" xfId="0" applyNumberFormat="1" applyFont="1" applyFill="1" applyBorder="1" applyAlignment="1">
      <alignment horizontal="center" vertical="center"/>
    </xf>
    <xf numFmtId="5" fontId="15" fillId="3" borderId="4" xfId="0" applyNumberFormat="1" applyFont="1" applyFill="1" applyBorder="1" applyAlignment="1">
      <alignment horizontal="center" vertical="center"/>
    </xf>
    <xf numFmtId="5" fontId="15" fillId="3" borderId="38" xfId="0" applyNumberFormat="1" applyFont="1" applyFill="1" applyBorder="1" applyAlignment="1">
      <alignment horizontal="center" vertical="center"/>
    </xf>
    <xf numFmtId="5" fontId="15" fillId="3" borderId="7" xfId="0" applyNumberFormat="1" applyFont="1" applyFill="1" applyBorder="1" applyAlignment="1">
      <alignment horizontal="center" vertical="center"/>
    </xf>
    <xf numFmtId="5" fontId="15" fillId="3" borderId="55" xfId="0" applyNumberFormat="1" applyFont="1" applyFill="1" applyBorder="1" applyAlignment="1">
      <alignment horizontal="center" vertical="center"/>
    </xf>
    <xf numFmtId="5" fontId="15" fillId="12" borderId="6" xfId="0" applyNumberFormat="1" applyFont="1" applyFill="1" applyBorder="1" applyAlignment="1">
      <alignment horizontal="center" vertical="center"/>
    </xf>
    <xf numFmtId="5" fontId="15" fillId="12" borderId="41" xfId="0" applyNumberFormat="1" applyFont="1" applyFill="1" applyBorder="1" applyAlignment="1">
      <alignment horizontal="center" vertical="center"/>
    </xf>
    <xf numFmtId="5" fontId="15" fillId="12" borderId="4" xfId="0" applyNumberFormat="1" applyFont="1" applyFill="1" applyBorder="1" applyAlignment="1">
      <alignment horizontal="center" vertical="center"/>
    </xf>
    <xf numFmtId="5" fontId="15" fillId="12" borderId="38" xfId="0" applyNumberFormat="1" applyFont="1" applyFill="1" applyBorder="1" applyAlignment="1">
      <alignment horizontal="center" vertical="center"/>
    </xf>
    <xf numFmtId="5" fontId="15" fillId="12" borderId="7" xfId="0" applyNumberFormat="1" applyFont="1" applyFill="1" applyBorder="1" applyAlignment="1">
      <alignment horizontal="center" vertical="center"/>
    </xf>
    <xf numFmtId="5" fontId="15" fillId="12" borderId="55" xfId="0" applyNumberFormat="1" applyFont="1" applyFill="1" applyBorder="1" applyAlignment="1">
      <alignment horizontal="center" vertical="center"/>
    </xf>
    <xf numFmtId="5" fontId="15" fillId="0" borderId="1" xfId="0" applyNumberFormat="1" applyFont="1" applyFill="1" applyBorder="1" applyAlignment="1">
      <alignment horizontal="center" vertical="center"/>
    </xf>
    <xf numFmtId="5" fontId="15" fillId="4" borderId="14" xfId="0" applyNumberFormat="1" applyFont="1" applyFill="1" applyBorder="1" applyAlignment="1">
      <alignment horizontal="center" vertical="center"/>
    </xf>
    <xf numFmtId="5" fontId="15" fillId="4" borderId="8" xfId="0" applyNumberFormat="1" applyFont="1" applyFill="1" applyBorder="1" applyAlignment="1">
      <alignment horizontal="center" vertical="center"/>
    </xf>
    <xf numFmtId="5" fontId="15" fillId="4" borderId="17" xfId="0" applyNumberFormat="1" applyFont="1" applyFill="1" applyBorder="1" applyAlignment="1">
      <alignment horizontal="center" vertical="center"/>
    </xf>
    <xf numFmtId="5" fontId="15" fillId="4" borderId="4" xfId="0" applyNumberFormat="1" applyFont="1" applyFill="1" applyBorder="1" applyAlignment="1">
      <alignment horizontal="center" vertical="center"/>
    </xf>
    <xf numFmtId="5" fontId="15" fillId="4" borderId="1" xfId="0" applyNumberFormat="1" applyFont="1" applyFill="1" applyBorder="1" applyAlignment="1">
      <alignment horizontal="center" vertical="center"/>
    </xf>
    <xf numFmtId="5" fontId="15" fillId="12" borderId="3" xfId="0" applyNumberFormat="1" applyFont="1" applyFill="1" applyBorder="1" applyAlignment="1">
      <alignment horizontal="center" vertical="center"/>
    </xf>
    <xf numFmtId="5" fontId="15" fillId="3" borderId="3" xfId="0" applyNumberFormat="1" applyFont="1" applyFill="1" applyBorder="1" applyAlignment="1">
      <alignment horizontal="center" vertical="center"/>
    </xf>
    <xf numFmtId="5" fontId="15" fillId="0" borderId="14" xfId="0" applyNumberFormat="1" applyFont="1" applyFill="1" applyBorder="1" applyAlignment="1">
      <alignment horizontal="center" vertical="center"/>
    </xf>
    <xf numFmtId="5" fontId="15" fillId="0" borderId="17" xfId="0" applyNumberFormat="1" applyFont="1" applyFill="1" applyBorder="1" applyAlignment="1">
      <alignment horizontal="center" vertical="center"/>
    </xf>
    <xf numFmtId="5" fontId="15" fillId="3" borderId="14" xfId="0" applyNumberFormat="1" applyFont="1" applyFill="1" applyBorder="1" applyAlignment="1">
      <alignment horizontal="center" vertical="center"/>
    </xf>
    <xf numFmtId="5" fontId="15" fillId="3" borderId="8" xfId="0" applyNumberFormat="1" applyFont="1" applyFill="1" applyBorder="1" applyAlignment="1">
      <alignment horizontal="center" vertical="center"/>
    </xf>
    <xf numFmtId="5" fontId="15" fillId="3" borderId="17" xfId="0" applyNumberFormat="1" applyFont="1" applyFill="1" applyBorder="1" applyAlignment="1">
      <alignment horizontal="center" vertical="center"/>
    </xf>
    <xf numFmtId="5" fontId="15" fillId="12" borderId="14" xfId="0" applyNumberFormat="1" applyFont="1" applyFill="1" applyBorder="1" applyAlignment="1">
      <alignment horizontal="center" vertical="center"/>
    </xf>
    <xf numFmtId="5" fontId="15" fillId="12" borderId="8" xfId="0" applyNumberFormat="1" applyFont="1" applyFill="1" applyBorder="1" applyAlignment="1">
      <alignment horizontal="center" vertical="center"/>
    </xf>
    <xf numFmtId="5" fontId="15" fillId="12" borderId="17" xfId="0" applyNumberFormat="1" applyFont="1" applyFill="1" applyBorder="1" applyAlignment="1">
      <alignment horizontal="center" vertical="center"/>
    </xf>
    <xf numFmtId="5" fontId="15" fillId="0" borderId="3" xfId="0" applyNumberFormat="1" applyFont="1" applyFill="1" applyBorder="1" applyAlignment="1">
      <alignment horizontal="center" vertical="center"/>
    </xf>
    <xf numFmtId="5" fontId="15" fillId="4" borderId="3" xfId="0" applyNumberFormat="1" applyFont="1" applyFill="1" applyBorder="1" applyAlignment="1">
      <alignment horizontal="center" vertical="center"/>
    </xf>
    <xf numFmtId="0" fontId="20" fillId="2" borderId="64" xfId="0" applyFont="1" applyFill="1" applyBorder="1" applyAlignment="1">
      <alignment horizontal="center" vertical="center" wrapText="1"/>
    </xf>
    <xf numFmtId="0" fontId="19" fillId="0" borderId="37" xfId="0" applyFont="1" applyBorder="1" applyAlignment="1">
      <alignment horizontal="center" vertical="center"/>
    </xf>
    <xf numFmtId="0" fontId="15" fillId="12" borderId="48" xfId="0" applyFont="1" applyFill="1" applyBorder="1"/>
    <xf numFmtId="0" fontId="15" fillId="12" borderId="21" xfId="0" applyFont="1" applyFill="1" applyBorder="1"/>
    <xf numFmtId="0" fontId="15" fillId="12" borderId="56" xfId="0" applyFont="1" applyFill="1" applyBorder="1"/>
    <xf numFmtId="0" fontId="15" fillId="4" borderId="48" xfId="0" applyFont="1" applyFill="1" applyBorder="1" applyAlignment="1">
      <alignment horizontal="left" vertical="center"/>
    </xf>
    <xf numFmtId="0" fontId="16" fillId="2" borderId="18" xfId="0" applyFont="1" applyFill="1" applyBorder="1" applyAlignment="1">
      <alignment horizontal="center" vertical="center" wrapText="1"/>
    </xf>
    <xf numFmtId="5" fontId="15" fillId="4" borderId="59" xfId="0" applyNumberFormat="1" applyFont="1" applyFill="1" applyBorder="1" applyAlignment="1">
      <alignment horizontal="center" vertical="center"/>
    </xf>
    <xf numFmtId="5" fontId="15" fillId="4" borderId="22" xfId="0" applyNumberFormat="1" applyFont="1" applyFill="1" applyBorder="1" applyAlignment="1">
      <alignment horizontal="center" vertical="center"/>
    </xf>
    <xf numFmtId="5" fontId="15" fillId="3" borderId="29" xfId="0" applyNumberFormat="1" applyFont="1" applyFill="1" applyBorder="1" applyAlignment="1">
      <alignment horizontal="center" vertical="center"/>
    </xf>
    <xf numFmtId="5" fontId="15" fillId="0" borderId="29" xfId="0" applyNumberFormat="1" applyFont="1" applyFill="1" applyBorder="1" applyAlignment="1">
      <alignment horizontal="center" vertical="center"/>
    </xf>
    <xf numFmtId="5" fontId="15" fillId="4" borderId="38" xfId="0" applyNumberFormat="1" applyFont="1" applyFill="1" applyBorder="1" applyAlignment="1">
      <alignment horizontal="center" vertical="center"/>
    </xf>
    <xf numFmtId="5" fontId="15" fillId="4" borderId="29" xfId="0" applyNumberFormat="1" applyFont="1" applyFill="1" applyBorder="1" applyAlignment="1">
      <alignment horizontal="center" vertical="center"/>
    </xf>
    <xf numFmtId="5" fontId="15" fillId="4" borderId="65" xfId="0" applyNumberFormat="1" applyFont="1" applyFill="1" applyBorder="1" applyAlignment="1">
      <alignment horizontal="center" vertical="center"/>
    </xf>
    <xf numFmtId="5" fontId="15" fillId="4" borderId="36" xfId="0" applyNumberFormat="1" applyFont="1" applyFill="1" applyBorder="1" applyAlignment="1">
      <alignment horizontal="center" vertical="center"/>
    </xf>
    <xf numFmtId="5" fontId="15" fillId="4" borderId="44" xfId="0" applyNumberFormat="1" applyFont="1" applyFill="1" applyBorder="1" applyAlignment="1">
      <alignment horizontal="center" vertical="center"/>
    </xf>
    <xf numFmtId="0" fontId="15" fillId="4" borderId="49" xfId="0" applyFont="1" applyFill="1" applyBorder="1" applyAlignment="1">
      <alignment horizontal="left" vertical="center"/>
    </xf>
    <xf numFmtId="0" fontId="16" fillId="2" borderId="52" xfId="0" applyFont="1" applyFill="1" applyBorder="1" applyAlignment="1">
      <alignment horizontal="center" vertical="center" wrapText="1"/>
    </xf>
    <xf numFmtId="0" fontId="15" fillId="12" borderId="57" xfId="0" applyFont="1" applyFill="1" applyBorder="1" applyAlignment="1">
      <alignment horizontal="left" vertical="center"/>
    </xf>
    <xf numFmtId="0" fontId="15" fillId="12" borderId="56" xfId="0" applyFont="1" applyFill="1" applyBorder="1" applyAlignment="1">
      <alignment horizontal="left" vertical="center"/>
    </xf>
    <xf numFmtId="0" fontId="15" fillId="12" borderId="42" xfId="0" applyFont="1" applyFill="1" applyBorder="1" applyAlignment="1">
      <alignment horizontal="left" vertical="center"/>
    </xf>
    <xf numFmtId="0" fontId="15" fillId="12" borderId="48" xfId="0" applyFont="1" applyFill="1" applyBorder="1" applyAlignment="1">
      <alignment horizontal="left" vertical="center"/>
    </xf>
    <xf numFmtId="0" fontId="15" fillId="12" borderId="21" xfId="0" applyFont="1" applyFill="1" applyBorder="1" applyAlignment="1">
      <alignment horizontal="left" vertical="center"/>
    </xf>
    <xf numFmtId="0" fontId="14" fillId="2" borderId="53" xfId="0" applyFont="1" applyFill="1" applyBorder="1" applyAlignment="1">
      <alignment horizontal="center" vertical="center" wrapText="1"/>
    </xf>
    <xf numFmtId="0" fontId="15" fillId="4" borderId="21" xfId="0" applyFont="1" applyFill="1" applyBorder="1" applyAlignment="1">
      <alignment horizontal="left" vertical="center"/>
    </xf>
    <xf numFmtId="0" fontId="19" fillId="12" borderId="58" xfId="0" applyFont="1" applyFill="1" applyBorder="1" applyAlignment="1">
      <alignment horizontal="center" vertical="center"/>
    </xf>
    <xf numFmtId="0" fontId="19" fillId="12" borderId="33" xfId="0" applyFont="1" applyFill="1" applyBorder="1" applyAlignment="1">
      <alignment horizontal="center" vertical="center"/>
    </xf>
    <xf numFmtId="0" fontId="19" fillId="0" borderId="34" xfId="0" applyFont="1" applyFill="1" applyBorder="1" applyAlignment="1">
      <alignment horizontal="center" vertical="center"/>
    </xf>
    <xf numFmtId="0" fontId="19" fillId="0" borderId="58" xfId="0" applyFont="1" applyFill="1" applyBorder="1" applyAlignment="1">
      <alignment horizontal="center" vertical="center"/>
    </xf>
    <xf numFmtId="0" fontId="19" fillId="12" borderId="34" xfId="0" applyFont="1" applyFill="1" applyBorder="1" applyAlignment="1">
      <alignment horizontal="center" vertical="center"/>
    </xf>
    <xf numFmtId="0" fontId="19" fillId="12" borderId="31" xfId="0" applyFont="1" applyFill="1" applyBorder="1" applyAlignment="1">
      <alignment horizontal="center" vertical="center"/>
    </xf>
    <xf numFmtId="0" fontId="19" fillId="0" borderId="33" xfId="0" applyFont="1" applyFill="1" applyBorder="1" applyAlignment="1">
      <alignment horizontal="center" vertical="center"/>
    </xf>
    <xf numFmtId="0" fontId="19" fillId="4" borderId="50" xfId="0" applyFont="1" applyFill="1" applyBorder="1" applyAlignment="1">
      <alignment horizontal="center" vertical="center"/>
    </xf>
    <xf numFmtId="0" fontId="15" fillId="0" borderId="48" xfId="0" applyFont="1" applyFill="1" applyBorder="1" applyAlignment="1">
      <alignment horizontal="left" vertical="center"/>
    </xf>
    <xf numFmtId="0" fontId="15" fillId="0" borderId="56" xfId="0" applyFont="1" applyFill="1" applyBorder="1" applyAlignment="1">
      <alignment horizontal="left" vertical="center"/>
    </xf>
    <xf numFmtId="0" fontId="15" fillId="0" borderId="21" xfId="0" applyFont="1" applyFill="1" applyBorder="1" applyAlignment="1">
      <alignment horizontal="left" vertical="center"/>
    </xf>
    <xf numFmtId="0" fontId="19" fillId="12" borderId="32" xfId="0" applyFont="1" applyFill="1" applyBorder="1" applyAlignment="1">
      <alignment horizontal="center" vertical="center"/>
    </xf>
    <xf numFmtId="5" fontId="15" fillId="12" borderId="11" xfId="0" applyNumberFormat="1" applyFont="1" applyFill="1" applyBorder="1" applyAlignment="1">
      <alignment horizontal="center" vertical="center"/>
    </xf>
    <xf numFmtId="5" fontId="15" fillId="12" borderId="10" xfId="0" applyNumberFormat="1" applyFont="1" applyFill="1" applyBorder="1" applyAlignment="1">
      <alignment horizontal="center" vertical="center"/>
    </xf>
    <xf numFmtId="5" fontId="15" fillId="12" borderId="9" xfId="0" applyNumberFormat="1" applyFont="1" applyFill="1" applyBorder="1" applyAlignment="1">
      <alignment horizontal="center" vertical="center"/>
    </xf>
    <xf numFmtId="5" fontId="15" fillId="12" borderId="61" xfId="0" applyNumberFormat="1" applyFont="1" applyFill="1" applyBorder="1" applyAlignment="1">
      <alignment horizontal="center" vertical="center"/>
    </xf>
    <xf numFmtId="0" fontId="15" fillId="0" borderId="57" xfId="0" applyFont="1" applyFill="1" applyBorder="1" applyAlignment="1">
      <alignment horizontal="left" vertical="center"/>
    </xf>
    <xf numFmtId="0" fontId="14" fillId="0" borderId="0" xfId="0" applyFont="1" applyFill="1" applyBorder="1" applyAlignment="1">
      <alignment vertical="center" wrapText="1"/>
    </xf>
    <xf numFmtId="0" fontId="16" fillId="0" borderId="0" xfId="0" applyFont="1" applyFill="1" applyBorder="1" applyAlignment="1">
      <alignment horizontal="center" vertical="center" wrapText="1"/>
    </xf>
    <xf numFmtId="0" fontId="15" fillId="0" borderId="0" xfId="0" applyFont="1" applyFill="1" applyBorder="1" applyAlignment="1">
      <alignment horizontal="center"/>
    </xf>
    <xf numFmtId="0" fontId="10" fillId="7" borderId="0" xfId="0" applyFont="1" applyFill="1" applyAlignment="1">
      <alignment horizontal="center" vertical="center"/>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167" fontId="5" fillId="2" borderId="1" xfId="0" applyNumberFormat="1" applyFont="1" applyFill="1" applyBorder="1" applyAlignment="1">
      <alignment horizontal="center" vertical="center"/>
    </xf>
    <xf numFmtId="167" fontId="5" fillId="2" borderId="1" xfId="0" applyNumberFormat="1" applyFont="1" applyFill="1" applyBorder="1" applyAlignment="1">
      <alignment horizontal="center" vertical="center" wrapText="1"/>
    </xf>
    <xf numFmtId="0" fontId="14" fillId="2" borderId="53" xfId="0" applyFont="1" applyFill="1" applyBorder="1" applyAlignment="1">
      <alignment horizontal="center" vertical="center" wrapText="1"/>
    </xf>
    <xf numFmtId="0" fontId="14" fillId="2" borderId="54" xfId="0" applyFont="1" applyFill="1" applyBorder="1" applyAlignment="1">
      <alignment horizontal="center" vertical="center" wrapText="1"/>
    </xf>
    <xf numFmtId="0" fontId="14" fillId="2" borderId="52" xfId="0" applyFont="1" applyFill="1" applyBorder="1" applyAlignment="1">
      <alignment horizontal="center" vertical="center" wrapText="1"/>
    </xf>
    <xf numFmtId="0" fontId="15" fillId="3" borderId="56" xfId="0" applyFont="1" applyFill="1" applyBorder="1"/>
    <xf numFmtId="0" fontId="15" fillId="3" borderId="21" xfId="0" applyFont="1" applyFill="1" applyBorder="1"/>
  </cellXfs>
  <cellStyles count="7">
    <cellStyle name="Comma" xfId="2" builtinId="3"/>
    <cellStyle name="Currency" xfId="6" builtinId="4"/>
    <cellStyle name="Neutral" xfId="5" builtinId="28"/>
    <cellStyle name="Normal" xfId="0" builtinId="0"/>
    <cellStyle name="Normal 3" xfId="1"/>
    <cellStyle name="Percent" xfId="4" builtinId="5"/>
    <cellStyle name="Percent 2" xfId="3"/>
  </cellStyles>
  <dxfs count="8">
    <dxf>
      <fill>
        <patternFill>
          <fgColor indexed="64"/>
          <bgColor theme="2" tint="-9.9948118533890809E-2"/>
        </patternFill>
      </fill>
    </dxf>
    <dxf>
      <fill>
        <patternFill>
          <bgColor theme="0"/>
        </patternFill>
      </fill>
    </dxf>
    <dxf>
      <fill>
        <patternFill>
          <bgColor theme="0"/>
        </patternFill>
      </fill>
    </dxf>
    <dxf>
      <fill>
        <patternFill patternType="solid">
          <bgColor theme="4" tint="0.59999389629810485"/>
        </patternFill>
      </fill>
    </dxf>
    <dxf>
      <fill>
        <patternFill patternType="solid">
          <bgColor theme="4" tint="0.59999389629810485"/>
        </patternFill>
      </fill>
    </dxf>
    <dxf>
      <numFmt numFmtId="164" formatCode="&quot;$&quot;#,##0.00"/>
    </dxf>
    <dxf>
      <numFmt numFmtId="1" formatCode="0"/>
    </dxf>
    <dxf>
      <numFmt numFmtId="164" formatCode="&quot;$&quot;#,##0.00"/>
    </dxf>
  </dxfs>
  <tableStyles count="0" defaultTableStyle="TableStyleMedium2" defaultPivotStyle="PivotStyleLight16"/>
  <colors>
    <mruColors>
      <color rgb="FFDDDB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2.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sharedStrings" Target="sharedStrings.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Users/tshaver/Downloads/2022-2023%20Salary%20Scales%20(5-26-22).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2" Type="http://schemas.openxmlformats.org/officeDocument/2006/relationships/externalLinkPath" Target="/Users/tshaver/Downloads/2022-2023%20Salary%20Scales%20(5-26-22).xlsx" TargetMode="External"/><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2" Type="http://schemas.openxmlformats.org/officeDocument/2006/relationships/externalLinkPath" Target="/Users/tshaver/Downloads/2022-2023%20Salary%20Scales%20(5-26-22).xlsx" TargetMode="External"/><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r:id="rId1" refreshedBy="Alex Turner" refreshedDate="44501.961007291669" createdVersion="7" refreshedVersion="7" minRefreshableVersion="3" recordCount="42">
  <cacheSource type="worksheet">
    <worksheetSource ref="A643:V643" sheet="Administrator Employee Data" r:id="rId2"/>
  </cacheSource>
  <cacheFields count="22">
    <cacheField name="Last Name" numFmtId="0">
      <sharedItems/>
    </cacheField>
    <cacheField name="First Name" numFmtId="0">
      <sharedItems/>
    </cacheField>
    <cacheField name="Employee ID" numFmtId="0">
      <sharedItems containsSemiMixedTypes="0" containsString="0" containsNumber="1" containsInteger="1" minValue="10005" maxValue="14874"/>
    </cacheField>
    <cacheField name="Hire Date" numFmtId="14">
      <sharedItems containsSemiMixedTypes="0" containsNonDate="0" containsDate="1" containsString="0" minDate="1992-08-27T00:00:00" maxDate="2020-07-02T00:00:00"/>
    </cacheField>
    <cacheField name="Hire Years" numFmtId="0">
      <sharedItems containsNonDate="0" containsString="0" containsBlank="1"/>
    </cacheField>
    <cacheField name="Class Date" numFmtId="0">
      <sharedItems containsNonDate="0" containsString="0" containsBlank="1"/>
    </cacheField>
    <cacheField name="Class Years" numFmtId="14">
      <sharedItems containsSemiMixedTypes="0" containsNonDate="0" containsDate="1" containsString="0" minDate="1992-08-27T00:00:00" maxDate="2020-07-02T00:00:00"/>
    </cacheField>
    <cacheField name="Pay Plan" numFmtId="0">
      <sharedItems containsNonDate="0" containsString="0" containsBlank="1"/>
    </cacheField>
    <cacheField name="Pay Grade" numFmtId="0">
      <sharedItems containsBlank="1" count="11">
        <s v="Assistant Athletic Director"/>
        <s v="Dean of Students"/>
        <s v="Elementary School Assistant Principal"/>
        <s v="Middle School Assistant Principal"/>
        <s v="High School Assistant Principal"/>
        <s v="Elementary School Principal"/>
        <s v="Director"/>
        <s v="Middle School Principal"/>
        <s v="High School Principal"/>
        <s v="Chief Officer"/>
        <m/>
      </sharedItems>
    </cacheField>
    <cacheField name="Step" numFmtId="0">
      <sharedItems containsNonDate="0" containsString="0" containsBlank="1"/>
    </cacheField>
    <cacheField name="Hourly Rate" numFmtId="164">
      <sharedItems containsSemiMixedTypes="0" containsString="0" containsNumber="1" minValue="32.872727272727268" maxValue="100.0384"/>
    </cacheField>
    <cacheField name="Annual Salary" numFmtId="164">
      <sharedItems containsSemiMixedTypes="0" containsString="0" containsNumber="1" containsInteger="1" minValue="50624" maxValue="187572"/>
    </cacheField>
    <cacheField name="Contract Days" numFmtId="0">
      <sharedItems containsSemiMixedTypes="0" containsString="0" containsNumber="1" containsInteger="1" minValue="200" maxValue="250"/>
    </cacheField>
    <cacheField name="Hrs/Day" numFmtId="0">
      <sharedItems containsSemiMixedTypes="0" containsString="0" containsNumber="1" minValue="7" maxValue="7.5"/>
    </cacheField>
    <cacheField name="FTE" numFmtId="0">
      <sharedItems containsSemiMixedTypes="0" containsString="0" containsNumber="1" containsInteger="1" minValue="1" maxValue="1"/>
    </cacheField>
    <cacheField name="FTE Annualized Salary" numFmtId="164">
      <sharedItems containsSemiMixedTypes="0" containsString="0" containsNumber="1" containsInteger="1" minValue="50624" maxValue="187572"/>
    </cacheField>
    <cacheField name="Department/Location" numFmtId="0">
      <sharedItems/>
    </cacheField>
    <cacheField name="Current Classification Title" numFmtId="0">
      <sharedItems count="21">
        <s v="Assistant Athletic Director"/>
        <s v="Dean of Students"/>
        <s v="Assistant Principal"/>
        <s v="Principal"/>
        <s v="Director of Teaching and Learning"/>
        <s v="Director of Federal Programs and Teacher Development"/>
        <s v="Director of School Nutrition"/>
        <s v="Director of EL Services and Title III"/>
        <s v="Director of Human Resources"/>
        <s v="Director of Equity and Community Engagement"/>
        <s v="Director of STEM Education"/>
        <s v="SPED Director"/>
        <s v="Executive Director of Technology"/>
        <s v="Director of Elementary Education"/>
        <s v="Chief Officer for Student Support"/>
        <s v="Chief Academic Officer"/>
        <s v="Chief Operating Officer"/>
        <s v="Chief Financial Officer"/>
        <s v="Superintendent"/>
        <s v="Executive Director of HEF"/>
        <s v="Athletic Director"/>
      </sharedItems>
    </cacheField>
    <cacheField name="Class Code" numFmtId="0">
      <sharedItems containsNonDate="0" containsString="0" containsBlank="1"/>
    </cacheField>
    <cacheField name="Current Minimum" numFmtId="164">
      <sharedItems containsString="0" containsBlank="1" containsNumber="1" minValue="53350" maxValue="104790"/>
    </cacheField>
    <cacheField name="Current Midpoint" numFmtId="164">
      <sharedItems containsString="0" containsBlank="1" containsNumber="1" minValue="62497.599999999999" maxValue="125034.5"/>
    </cacheField>
    <cacheField name="Current Maximum" numFmtId="164">
      <sharedItems containsString="0" containsBlank="1" containsNumber="1" minValue="71645.2" maxValue="145279"/>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Alex Turner" refreshedDate="44504.061732291666" createdVersion="7" refreshedVersion="7" minRefreshableVersion="3" recordCount="290">
  <cacheSource type="worksheet">
    <worksheetSource ref="A57:V57" sheet="Classified Employee Data" r:id="rId2"/>
  </cacheSource>
  <cacheFields count="22">
    <cacheField name="Last Name" numFmtId="0">
      <sharedItems/>
    </cacheField>
    <cacheField name="First Name" numFmtId="0">
      <sharedItems/>
    </cacheField>
    <cacheField name="Employee ID" numFmtId="0">
      <sharedItems containsSemiMixedTypes="0" containsString="0" containsNumber="1" containsInteger="1" minValue="10009" maxValue="15124"/>
    </cacheField>
    <cacheField name="Hire Date" numFmtId="0">
      <sharedItems containsSemiMixedTypes="0" containsDate="1" containsString="0" containsMixedTypes="1" minDate="1900-01-03T02:42:04" maxDate="2021-08-05T00:00:00"/>
    </cacheField>
    <cacheField name="Hire Years" numFmtId="0">
      <sharedItems containsString="0" containsBlank="1" containsNumber="1" minValue="0.40833333333333333" maxValue="1.8111111111111111"/>
    </cacheField>
    <cacheField name="Class Date" numFmtId="0">
      <sharedItems containsString="0" containsBlank="1" containsNumber="1" containsInteger="1" minValue="43899" maxValue="44412"/>
    </cacheField>
    <cacheField name="Class Years" numFmtId="0">
      <sharedItems containsDate="1" containsString="0" containsBlank="1" containsMixedTypes="1" minDate="2017-01-18T00:00:00" maxDate="1899-12-30T00:00:00"/>
    </cacheField>
    <cacheField name="Pay Plan" numFmtId="0">
      <sharedItems containsNonDate="0" containsString="0" containsBlank="1"/>
    </cacheField>
    <cacheField name="Pay Grade" numFmtId="0">
      <sharedItems count="38">
        <s v="Custodian"/>
        <s v="No Range"/>
        <s v="School Nutrition Assistant"/>
        <s v="Teacher Assistant"/>
        <s v="Custodian - Head"/>
        <s v="Technology I"/>
        <s v="School Nutrition Manager (&gt;1,000 Students)"/>
        <s v="Accounts Payable Clerk"/>
        <s v="Electrician"/>
        <s v="Secretary II"/>
        <s v="Home School Liaison"/>
        <s v="School Nurse - RN"/>
        <s v="Budget Specialist"/>
        <s v="Secretary I"/>
        <s v="Executive Assistant"/>
        <s v="Technology II"/>
        <s v="Administrative Assistant I"/>
        <s v="Maintenance"/>
        <s v="HR Specialist"/>
        <s v="Federal Program Specialist"/>
        <s v="Bookkeeper I"/>
        <s v="School Nutrition Manager (&lt;600 Students)"/>
        <s v="School Nurse - LPN"/>
        <s v="Administrative Assistant II"/>
        <s v="Licensed HVAC"/>
        <s v="Executive Assistant to Superintendent"/>
        <s v="School Records Clerk"/>
        <s v="Bookkeeper II"/>
        <s v="Licensure Specialist"/>
        <s v="Translation Support Specialist"/>
        <s v="Communications/Electronic Technician"/>
        <s v="Payroll Specialist"/>
        <s v="Purchasing Specialist"/>
        <s v="HR Assistant"/>
        <s v="Accounting Assistant I"/>
        <s v="School Nutrition Manager (600-1,000 Students)"/>
        <s v="Registrar and Assessor"/>
        <s v="Speech Language Pathology Assistant"/>
      </sharedItems>
    </cacheField>
    <cacheField name="Step" numFmtId="0">
      <sharedItems containsNonDate="0" containsString="0" containsBlank="1"/>
    </cacheField>
    <cacheField name="Hourly Rate" numFmtId="0">
      <sharedItems containsSemiMixedTypes="0" containsString="0" containsNumber="1" minValue="11" maxValue="54.159740259740261"/>
    </cacheField>
    <cacheField name="Annual Salary" numFmtId="0">
      <sharedItems containsSemiMixedTypes="0" containsString="0" containsNumber="1" minValue="5940" maxValue="97263"/>
    </cacheField>
    <cacheField name="Contract Days" numFmtId="0">
      <sharedItems containsSemiMixedTypes="0" containsString="0" containsNumber="1" containsInteger="1" minValue="180" maxValue="250"/>
    </cacheField>
    <cacheField name="Hrs/Day" numFmtId="0">
      <sharedItems containsSemiMixedTypes="0" containsString="0" containsNumber="1" minValue="3" maxValue="8"/>
    </cacheField>
    <cacheField name="FTE" numFmtId="0">
      <sharedItems containsSemiMixedTypes="0" containsString="0" containsNumber="1" minValue="0.5" maxValue="1"/>
    </cacheField>
    <cacheField name="FTE Annualized Salary" numFmtId="164">
      <sharedItems containsSemiMixedTypes="0" containsString="0" containsNumber="1" minValue="5940" maxValue="97263"/>
    </cacheField>
    <cacheField name="Department/Location" numFmtId="0">
      <sharedItems/>
    </cacheField>
    <cacheField name="Current Classification Title" numFmtId="0">
      <sharedItems/>
    </cacheField>
    <cacheField name="Class Code" numFmtId="0">
      <sharedItems containsNonDate="0" containsString="0" containsBlank="1"/>
    </cacheField>
    <cacheField name="Current Minimum" numFmtId="164">
      <sharedItems containsBlank="1" containsMixedTypes="1" containsNumber="1" containsInteger="1" minValue="11652" maxValue="48500"/>
    </cacheField>
    <cacheField name="Current Midpoint" numFmtId="164">
      <sharedItems containsBlank="1" containsMixedTypes="1" containsNumber="1" minValue="14847.5" maxValue="56919"/>
    </cacheField>
    <cacheField name="Current Maximum" numFmtId="164">
      <sharedItems containsBlank="1" containsMixedTypes="1" containsNumber="1" containsInteger="1" minValue="18043" maxValue="67026"/>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r:id="rId1" refreshedBy="Alex Turner" refreshedDate="44504.377308912037" createdVersion="7" refreshedVersion="7" minRefreshableVersion="3" recordCount="660">
  <cacheSource type="worksheet">
    <worksheetSource ref="A1:V643" sheet="Certified Employee Data" r:id="rId2"/>
  </cacheSource>
  <cacheFields count="22">
    <cacheField name="Last Name" numFmtId="0">
      <sharedItems containsBlank="1"/>
    </cacheField>
    <cacheField name="First Name" numFmtId="0">
      <sharedItems containsBlank="1"/>
    </cacheField>
    <cacheField name="Employee ID" numFmtId="0">
      <sharedItems containsString="0" containsBlank="1" containsNumber="1" containsInteger="1" minValue="10060" maxValue="15300"/>
    </cacheField>
    <cacheField name="Hire Date" numFmtId="14">
      <sharedItems containsNonDate="0" containsDate="1" containsString="0" containsBlank="1" minDate="1982-08-24T00:00:00" maxDate="2021-08-05T00:00:00"/>
    </cacheField>
    <cacheField name="Hire Years" numFmtId="2">
      <sharedItems containsString="0" containsBlank="1" containsNumber="1" minValue="0.40833333333333333" maxValue="39.352777777777774"/>
    </cacheField>
    <cacheField name="Class Date" numFmtId="0">
      <sharedItems containsDate="1" containsString="0" containsBlank="1" containsMixedTypes="1" minDate="1900-01-05T05:42:04" maxDate="1900-01-07T10:50:04"/>
    </cacheField>
    <cacheField name="Class Years" numFmtId="165">
      <sharedItems containsString="0" containsBlank="1" containsNumber="1" minValue="0.40833333333333333" maxValue="39.352777777777774"/>
    </cacheField>
    <cacheField name="Pay Plan" numFmtId="0">
      <sharedItems containsNonDate="0" containsString="0" containsBlank="1"/>
    </cacheField>
    <cacheField name="Pay Grade" numFmtId="0">
      <sharedItems containsBlank="1" count="8">
        <s v="Teacher"/>
        <s v="Coordinator"/>
        <m/>
        <s v="School Social Worker"/>
        <s v="School Psychologist"/>
        <s v="4-T Instructor"/>
        <s v="Athletic Trainer"/>
        <s v="Speech Language Pathology Assistant" u="1"/>
      </sharedItems>
    </cacheField>
    <cacheField name="Step" numFmtId="0">
      <sharedItems containsNonDate="0" containsString="0" containsBlank="1"/>
    </cacheField>
    <cacheField name="Hourly Rate" numFmtId="0">
      <sharedItems containsString="0" containsBlank="1" containsNumber="1" minValue="34.642857142857146" maxValue="60.039285714285711"/>
    </cacheField>
    <cacheField name="Annual Salary" numFmtId="0">
      <sharedItems containsString="0" containsBlank="1" containsNumber="1" containsInteger="1" minValue="25284" maxValue="100140"/>
    </cacheField>
    <cacheField name="Contract Days" numFmtId="0">
      <sharedItems containsString="0" containsBlank="1" containsNumber="1" containsInteger="1" minValue="185" maxValue="250"/>
    </cacheField>
    <cacheField name="Hrs/Day" numFmtId="0">
      <sharedItems containsString="0" containsBlank="1" containsNumber="1" minValue="3.5" maxValue="7.5"/>
    </cacheField>
    <cacheField name="FTE" numFmtId="0">
      <sharedItems containsString="0" containsBlank="1" containsNumber="1" minValue="0.5" maxValue="1"/>
    </cacheField>
    <cacheField name="FTE Annualized Salary" numFmtId="164">
      <sharedItems containsString="0" containsBlank="1" containsNumber="1" minValue="48500" maxValue="100140"/>
    </cacheField>
    <cacheField name="Department/Location" numFmtId="0">
      <sharedItems containsBlank="1"/>
    </cacheField>
    <cacheField name="Current Classification Title" numFmtId="0">
      <sharedItems containsBlank="1"/>
    </cacheField>
    <cacheField name="Class Code" numFmtId="0">
      <sharedItems containsNonDate="0" containsString="0" containsBlank="1"/>
    </cacheField>
    <cacheField name="Current Minimum" numFmtId="164">
      <sharedItems containsString="0" containsBlank="1" containsNumber="1" minValue="44862.5" maxValue="72151"/>
    </cacheField>
    <cacheField name="Current Midpoint" numFmtId="164">
      <sharedItems containsString="0" containsBlank="1" containsNumber="1" minValue="52554.8" maxValue="85836"/>
    </cacheField>
    <cacheField name="Current Maximum" numFmtId="164">
      <sharedItems containsString="0" containsBlank="1" containsNumber="1" minValue="60247.1" maxValue="9952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2">
  <r>
    <s v="Middleton"/>
    <s v="Jonathan"/>
    <n v="14046"/>
    <d v="2017-11-08T00:00:00"/>
    <m/>
    <m/>
    <d v="2017-11-08T00:00:00"/>
    <m/>
    <x v="0"/>
    <m/>
    <n v="35.25"/>
    <n v="54285"/>
    <n v="220"/>
    <n v="7"/>
    <n v="1"/>
    <n v="54285"/>
    <s v="Harrisonburg High"/>
    <x v="0"/>
    <m/>
    <n v="53350"/>
    <n v="62497.599999999999"/>
    <n v="71645.2"/>
  </r>
  <r>
    <s v="Burgess Jr"/>
    <s v="Donald"/>
    <n v="13191"/>
    <d v="2015-08-17T00:00:00"/>
    <m/>
    <m/>
    <d v="2015-08-17T00:00:00"/>
    <m/>
    <x v="1"/>
    <m/>
    <n v="44.427999999999997"/>
    <n v="66642"/>
    <n v="200"/>
    <n v="7.5"/>
    <n v="1"/>
    <n v="66642"/>
    <s v="Harrisonburg High"/>
    <x v="1"/>
    <m/>
    <n v="65032.800000000003"/>
    <n v="76610"/>
    <n v="88187.199999999997"/>
  </r>
  <r>
    <s v="Bunn"/>
    <s v="Norris"/>
    <n v="11086"/>
    <d v="2005-09-01T00:00:00"/>
    <m/>
    <m/>
    <d v="2005-09-01T00:00:00"/>
    <m/>
    <x v="2"/>
    <m/>
    <n v="43.28906666666667"/>
    <n v="81167"/>
    <n v="250"/>
    <n v="7.5"/>
    <n v="1"/>
    <n v="81167"/>
    <s v="Smithland Elementary"/>
    <x v="2"/>
    <m/>
    <n v="72151"/>
    <n v="85836"/>
    <n v="99521"/>
  </r>
  <r>
    <s v="Derstine"/>
    <s v="Brendon"/>
    <n v="12365"/>
    <d v="2012-08-14T00:00:00"/>
    <m/>
    <m/>
    <d v="2012-08-14T00:00:00"/>
    <m/>
    <x v="2"/>
    <m/>
    <n v="41.493333333333332"/>
    <n v="77800"/>
    <n v="250"/>
    <n v="7.5"/>
    <n v="1"/>
    <n v="77800"/>
    <s v="Spotswood Elementary"/>
    <x v="2"/>
    <m/>
    <n v="72151"/>
    <n v="85836"/>
    <n v="99521"/>
  </r>
  <r>
    <s v="Hartman"/>
    <s v="Staci"/>
    <n v="10560"/>
    <d v="2006-06-20T00:00:00"/>
    <m/>
    <m/>
    <d v="2006-06-20T00:00:00"/>
    <m/>
    <x v="2"/>
    <m/>
    <n v="46.946133333333336"/>
    <n v="88024"/>
    <n v="250"/>
    <n v="7.5"/>
    <n v="1"/>
    <n v="88024"/>
    <s v="Waterman Elementary"/>
    <x v="2"/>
    <m/>
    <n v="72151"/>
    <n v="85836"/>
    <n v="99521"/>
  </r>
  <r>
    <s v="Linden"/>
    <s v="Ian"/>
    <n v="10692"/>
    <d v="2003-01-06T00:00:00"/>
    <m/>
    <m/>
    <d v="2003-01-06T00:00:00"/>
    <m/>
    <x v="2"/>
    <m/>
    <n v="41.493333333333332"/>
    <n v="77800"/>
    <n v="250"/>
    <n v="7.5"/>
    <n v="1"/>
    <n v="77800"/>
    <s v="Stone Spring Elementary"/>
    <x v="2"/>
    <m/>
    <n v="72151"/>
    <n v="85836"/>
    <n v="99521"/>
  </r>
  <r>
    <s v="Mccarter"/>
    <s v="Amy"/>
    <n v="12188"/>
    <d v="2011-12-12T00:00:00"/>
    <m/>
    <m/>
    <d v="2011-12-12T00:00:00"/>
    <m/>
    <x v="2"/>
    <m/>
    <n v="39.433599999999998"/>
    <n v="73938"/>
    <n v="250"/>
    <n v="7.5"/>
    <n v="1"/>
    <n v="73938"/>
    <s v="Bluestone Elementary"/>
    <x v="2"/>
    <m/>
    <n v="72151"/>
    <n v="85836"/>
    <n v="99521"/>
  </r>
  <r>
    <s v="Young"/>
    <s v="Erin"/>
    <n v="10323"/>
    <d v="2006-06-20T00:00:00"/>
    <m/>
    <m/>
    <d v="2006-06-20T00:00:00"/>
    <m/>
    <x v="2"/>
    <m/>
    <n v="43.28906666666667"/>
    <n v="81167"/>
    <n v="250"/>
    <n v="7.5"/>
    <n v="1"/>
    <n v="81167"/>
    <s v="Keister Elementary"/>
    <x v="2"/>
    <m/>
    <n v="72151"/>
    <n v="85836"/>
    <n v="99521"/>
  </r>
  <r>
    <s v="Bullard"/>
    <s v="Lesonya"/>
    <n v="11873"/>
    <d v="2010-11-15T00:00:00"/>
    <m/>
    <m/>
    <d v="2010-11-15T00:00:00"/>
    <m/>
    <x v="3"/>
    <m/>
    <n v="53.011733333333339"/>
    <n v="99397"/>
    <n v="250"/>
    <n v="7.5"/>
    <n v="1"/>
    <n v="99397"/>
    <s v="Thomas Harrison Middle"/>
    <x v="2"/>
    <m/>
    <n v="77613"/>
    <n v="91797.5"/>
    <n v="105982"/>
  </r>
  <r>
    <s v="Burk"/>
    <s v="Chad"/>
    <n v="10393"/>
    <d v="2007-08-01T00:00:00"/>
    <m/>
    <m/>
    <d v="2007-08-01T00:00:00"/>
    <m/>
    <x v="3"/>
    <m/>
    <n v="49.402133333333339"/>
    <n v="92629"/>
    <n v="250"/>
    <n v="7.5"/>
    <n v="1"/>
    <n v="92629"/>
    <s v="Thomas Harrison Middle"/>
    <x v="2"/>
    <m/>
    <n v="77613"/>
    <n v="91797.5"/>
    <n v="105982"/>
  </r>
  <r>
    <s v="Miller"/>
    <s v="Eric"/>
    <n v="10146"/>
    <d v="2001-08-15T00:00:00"/>
    <m/>
    <m/>
    <d v="2001-08-15T00:00:00"/>
    <m/>
    <x v="3"/>
    <m/>
    <n v="50.235733333333329"/>
    <n v="94192"/>
    <n v="250"/>
    <n v="7.5"/>
    <n v="1"/>
    <n v="94192"/>
    <s v="Skyline Middle"/>
    <x v="2"/>
    <m/>
    <n v="77613"/>
    <n v="91797.5"/>
    <n v="105982"/>
  </r>
  <r>
    <s v="Woods"/>
    <s v="Leatrice"/>
    <n v="11535"/>
    <d v="2009-04-22T00:00:00"/>
    <m/>
    <m/>
    <d v="2009-04-22T00:00:00"/>
    <m/>
    <x v="3"/>
    <m/>
    <n v="41.393599999999999"/>
    <n v="77613"/>
    <n v="250"/>
    <n v="7.5"/>
    <n v="1"/>
    <n v="77613"/>
    <s v="Skyline Middle"/>
    <x v="2"/>
    <m/>
    <n v="77613"/>
    <n v="91797.5"/>
    <n v="105982"/>
  </r>
  <r>
    <s v="Burner"/>
    <s v="Jennifer"/>
    <n v="14874"/>
    <d v="2020-07-01T00:00:00"/>
    <m/>
    <m/>
    <d v="2020-07-01T00:00:00"/>
    <m/>
    <x v="4"/>
    <m/>
    <n v="44.428266666666666"/>
    <n v="83303"/>
    <n v="250"/>
    <n v="7.5"/>
    <n v="1"/>
    <n v="83303"/>
    <s v="Harrisonburg High"/>
    <x v="2"/>
    <m/>
    <n v="81291"/>
    <n v="95762.5"/>
    <n v="110234"/>
  </r>
  <r>
    <s v="Figueroa-Vargas"/>
    <s v="Gloria"/>
    <n v="12050"/>
    <d v="2011-08-15T00:00:00"/>
    <m/>
    <m/>
    <d v="2011-08-15T00:00:00"/>
    <m/>
    <x v="4"/>
    <m/>
    <n v="35.421333333333337"/>
    <n v="53132"/>
    <n v="200"/>
    <n v="7.5"/>
    <n v="1"/>
    <n v="53132"/>
    <s v="Harrisonburg High"/>
    <x v="2"/>
    <m/>
    <n v="81291"/>
    <n v="95762.5"/>
    <n v="110234"/>
  </r>
  <r>
    <s v="Hart"/>
    <s v="Jill"/>
    <n v="10119"/>
    <d v="1998-08-31T00:00:00"/>
    <m/>
    <m/>
    <d v="1998-08-31T00:00:00"/>
    <m/>
    <x v="4"/>
    <m/>
    <n v="56.652799999999999"/>
    <n v="106224"/>
    <n v="250"/>
    <n v="7.5"/>
    <n v="1"/>
    <n v="106224"/>
    <s v="Harrisonburg High"/>
    <x v="2"/>
    <m/>
    <n v="81291"/>
    <n v="95762.5"/>
    <n v="110234"/>
  </r>
  <r>
    <s v="Johnston"/>
    <s v="Patrick"/>
    <n v="14861"/>
    <d v="2020-07-01T00:00:00"/>
    <m/>
    <m/>
    <d v="2020-07-01T00:00:00"/>
    <m/>
    <x v="4"/>
    <m/>
    <n v="53.429866666666662"/>
    <n v="100181"/>
    <n v="250"/>
    <n v="7.5"/>
    <n v="1"/>
    <n v="100181"/>
    <s v="Harrisonburg High"/>
    <x v="2"/>
    <m/>
    <n v="81291"/>
    <n v="95762.5"/>
    <n v="110234"/>
  </r>
  <r>
    <s v="Churchill"/>
    <s v="Janis"/>
    <n v="12318"/>
    <d v="2012-07-01T00:00:00"/>
    <m/>
    <m/>
    <d v="2012-07-01T00:00:00"/>
    <m/>
    <x v="5"/>
    <m/>
    <n v="52.506133333333331"/>
    <n v="98449"/>
    <n v="250"/>
    <n v="7.5"/>
    <n v="1"/>
    <n v="98449"/>
    <s v="Smithland Elementary"/>
    <x v="3"/>
    <m/>
    <n v="86254"/>
    <n v="102431"/>
    <n v="118608"/>
  </r>
  <r>
    <s v="Cook"/>
    <s v="Debbie"/>
    <n v="13624"/>
    <d v="2016-07-21T00:00:00"/>
    <m/>
    <m/>
    <d v="2016-07-21T00:00:00"/>
    <m/>
    <x v="5"/>
    <m/>
    <n v="51.156266666666667"/>
    <n v="95918"/>
    <n v="250"/>
    <n v="7.5"/>
    <n v="1"/>
    <n v="95918"/>
    <s v="Spotswood Elementary"/>
    <x v="3"/>
    <m/>
    <n v="86254"/>
    <n v="102431"/>
    <n v="118608"/>
  </r>
  <r>
    <s v="Miller"/>
    <s v="Mark"/>
    <n v="11115"/>
    <d v="2004-08-11T00:00:00"/>
    <m/>
    <m/>
    <d v="2004-08-11T00:00:00"/>
    <m/>
    <x v="5"/>
    <m/>
    <n v="51.156266666666667"/>
    <n v="95918"/>
    <n v="250"/>
    <n v="7.5"/>
    <n v="1"/>
    <n v="95918"/>
    <s v="Keister Elementary"/>
    <x v="3"/>
    <m/>
    <n v="86254"/>
    <n v="102431"/>
    <n v="118608"/>
  </r>
  <r>
    <s v="Norment"/>
    <s v="Peter"/>
    <n v="10155"/>
    <d v="2006-08-09T00:00:00"/>
    <m/>
    <m/>
    <d v="2006-08-09T00:00:00"/>
    <m/>
    <x v="5"/>
    <m/>
    <n v="51.156266666666667"/>
    <n v="95918"/>
    <n v="250"/>
    <n v="7.5"/>
    <n v="1"/>
    <n v="95918"/>
    <s v="Bluestone Elementary"/>
    <x v="3"/>
    <m/>
    <n v="86254"/>
    <n v="102431"/>
    <n v="118608"/>
  </r>
  <r>
    <s v="Taylor"/>
    <s v="Kathleen"/>
    <n v="11248"/>
    <d v="2008-07-01T00:00:00"/>
    <m/>
    <m/>
    <d v="2008-07-01T00:00:00"/>
    <m/>
    <x v="5"/>
    <m/>
    <n v="52.506133333333331"/>
    <n v="98449"/>
    <n v="250"/>
    <n v="7.5"/>
    <n v="1"/>
    <n v="98449"/>
    <s v="Stone Spring Elementary"/>
    <x v="3"/>
    <m/>
    <n v="86254"/>
    <n v="102431"/>
    <n v="118608"/>
  </r>
  <r>
    <s v="Zahner"/>
    <s v="Margot"/>
    <n v="11221"/>
    <d v="2008-06-23T00:00:00"/>
    <m/>
    <m/>
    <d v="2008-06-23T00:00:00"/>
    <m/>
    <x v="5"/>
    <m/>
    <n v="51.156266666666667"/>
    <n v="95918"/>
    <n v="250"/>
    <n v="7.5"/>
    <n v="1"/>
    <n v="95918"/>
    <s v="Waterman Elementary"/>
    <x v="3"/>
    <m/>
    <n v="86254"/>
    <n v="102431"/>
    <n v="118608"/>
  </r>
  <r>
    <s v="Aldrich"/>
    <s v="Jeremy"/>
    <n v="10639"/>
    <d v="2000-12-18T00:00:00"/>
    <m/>
    <m/>
    <d v="2000-12-18T00:00:00"/>
    <m/>
    <x v="6"/>
    <m/>
    <n v="56.821333333333335"/>
    <n v="106540"/>
    <n v="250"/>
    <n v="7.5"/>
    <n v="1"/>
    <n v="106540"/>
    <s v="Central Office Teaching/Learning"/>
    <x v="4"/>
    <m/>
    <n v="91321"/>
    <n v="112270"/>
    <n v="133219"/>
  </r>
  <r>
    <s v="Blosser"/>
    <s v="Joy"/>
    <n v="11747"/>
    <d v="2010-08-02T00:00:00"/>
    <m/>
    <m/>
    <d v="2010-08-02T00:00:00"/>
    <m/>
    <x v="6"/>
    <m/>
    <n v="57.690133333333328"/>
    <n v="108169"/>
    <n v="250"/>
    <n v="7.5"/>
    <n v="1"/>
    <n v="108169"/>
    <s v="Central Office Teaching/Learning"/>
    <x v="5"/>
    <m/>
    <n v="91321"/>
    <n v="112270"/>
    <n v="133219"/>
  </r>
  <r>
    <s v="Early"/>
    <s v="Andrea"/>
    <n v="10334"/>
    <d v="2003-07-07T00:00:00"/>
    <m/>
    <m/>
    <d v="2003-07-07T00:00:00"/>
    <m/>
    <x v="6"/>
    <m/>
    <n v="58.636266666666664"/>
    <n v="109943"/>
    <n v="250"/>
    <n v="7.5"/>
    <n v="1"/>
    <n v="109943"/>
    <s v="Central Office"/>
    <x v="6"/>
    <m/>
    <n v="91321"/>
    <n v="112270"/>
    <n v="133219"/>
  </r>
  <r>
    <s v="Kirwan"/>
    <s v="Daniel"/>
    <n v="10687"/>
    <d v="2004-08-11T00:00:00"/>
    <m/>
    <m/>
    <d v="2004-08-11T00:00:00"/>
    <m/>
    <x v="7"/>
    <m/>
    <n v="55.896533333333331"/>
    <n v="104806"/>
    <n v="250"/>
    <n v="7.5"/>
    <n v="1"/>
    <n v="104806"/>
    <s v="Skyline Middle"/>
    <x v="3"/>
    <m/>
    <n v="91321"/>
    <n v="109862.5"/>
    <n v="128404"/>
  </r>
  <r>
    <s v="Mcgrath"/>
    <s v="Laura"/>
    <n v="10019"/>
    <d v="1997-10-15T00:00:00"/>
    <m/>
    <m/>
    <d v="1997-10-15T00:00:00"/>
    <m/>
    <x v="6"/>
    <m/>
    <n v="56.280533333333331"/>
    <n v="105526"/>
    <n v="250"/>
    <n v="7.5"/>
    <n v="1"/>
    <n v="105526"/>
    <s v="Central Office Teaching/Learning"/>
    <x v="7"/>
    <m/>
    <n v="91321"/>
    <n v="112270"/>
    <n v="133219"/>
  </r>
  <r>
    <s v="Printz"/>
    <s v="Shawn"/>
    <n v="10006"/>
    <d v="2006-07-31T00:00:00"/>
    <m/>
    <m/>
    <d v="2006-07-31T00:00:00"/>
    <m/>
    <x v="6"/>
    <m/>
    <n v="71.050133333333335"/>
    <n v="133219"/>
    <n v="250"/>
    <n v="7.5"/>
    <n v="1"/>
    <n v="133219"/>
    <s v="Central Office"/>
    <x v="8"/>
    <m/>
    <n v="91321"/>
    <n v="112270"/>
    <n v="133219"/>
  </r>
  <r>
    <s v="Romero"/>
    <s v="Salvador"/>
    <n v="11121"/>
    <d v="2006-08-09T00:00:00"/>
    <m/>
    <m/>
    <d v="2006-08-09T00:00:00"/>
    <m/>
    <x v="6"/>
    <m/>
    <n v="56.84"/>
    <n v="106575"/>
    <n v="250"/>
    <n v="7.5"/>
    <n v="1"/>
    <n v="106575"/>
    <s v="Central Office"/>
    <x v="9"/>
    <m/>
    <n v="91321"/>
    <n v="112270"/>
    <n v="133219"/>
  </r>
  <r>
    <s v="Sabarre"/>
    <s v="Amy"/>
    <n v="12005"/>
    <d v="2011-07-01T00:00:00"/>
    <m/>
    <m/>
    <d v="2011-07-01T00:00:00"/>
    <m/>
    <x v="6"/>
    <m/>
    <n v="55.057066666666664"/>
    <n v="103232"/>
    <n v="250"/>
    <n v="7.5"/>
    <n v="1"/>
    <n v="103232"/>
    <s v="Central Office"/>
    <x v="10"/>
    <m/>
    <n v="91321"/>
    <n v="112270"/>
    <n v="133219"/>
  </r>
  <r>
    <s v="Shaner"/>
    <s v="Alison"/>
    <n v="14864"/>
    <d v="2020-07-01T00:00:00"/>
    <m/>
    <m/>
    <d v="2020-07-01T00:00:00"/>
    <m/>
    <x v="6"/>
    <m/>
    <n v="51.859200000000001"/>
    <n v="97236"/>
    <n v="250"/>
    <n v="7.5"/>
    <n v="1"/>
    <n v="97236"/>
    <s v="Central Office"/>
    <x v="11"/>
    <m/>
    <n v="91321"/>
    <n v="112270"/>
    <n v="133219"/>
  </r>
  <r>
    <s v="Sheets"/>
    <s v="Toni"/>
    <n v="12013"/>
    <d v="2011-08-15T00:00:00"/>
    <m/>
    <m/>
    <d v="2011-08-15T00:00:00"/>
    <m/>
    <x v="6"/>
    <m/>
    <n v="58.636266666666664"/>
    <n v="109943"/>
    <n v="250"/>
    <n v="7.5"/>
    <n v="1"/>
    <n v="109943"/>
    <s v="Central Office"/>
    <x v="12"/>
    <m/>
    <n v="91321"/>
    <n v="112270"/>
    <n v="133219"/>
  </r>
  <r>
    <s v="Vale"/>
    <s v="Donald"/>
    <n v="12290"/>
    <d v="2012-07-01T00:00:00"/>
    <m/>
    <m/>
    <d v="2012-07-01T00:00:00"/>
    <m/>
    <x v="7"/>
    <m/>
    <n v="62.74666666666667"/>
    <n v="117650"/>
    <n v="250"/>
    <n v="7.5"/>
    <n v="1"/>
    <n v="117650"/>
    <s v="Thomas Harrison Middle"/>
    <x v="3"/>
    <m/>
    <n v="91321"/>
    <n v="109862.5"/>
    <n v="128404"/>
  </r>
  <r>
    <s v="Weaver"/>
    <s v="Jeremy"/>
    <n v="11865"/>
    <d v="1995-08-22T00:00:00"/>
    <m/>
    <m/>
    <d v="1995-08-22T00:00:00"/>
    <m/>
    <x v="6"/>
    <m/>
    <n v="66.246933333333331"/>
    <n v="124213"/>
    <n v="250"/>
    <n v="7.5"/>
    <n v="1"/>
    <n v="124213"/>
    <s v="Central Office Teaching/Learning"/>
    <x v="13"/>
    <m/>
    <n v="91321"/>
    <n v="112270"/>
    <n v="133219"/>
  </r>
  <r>
    <s v="Hensley"/>
    <s v="Melissa"/>
    <n v="14554"/>
    <d v="2019-07-09T00:00:00"/>
    <m/>
    <m/>
    <d v="2019-07-09T00:00:00"/>
    <m/>
    <x v="8"/>
    <m/>
    <n v="71.050133333333335"/>
    <n v="133219"/>
    <n v="250"/>
    <n v="7.5"/>
    <n v="1"/>
    <n v="133219"/>
    <s v="Harrisonburg High"/>
    <x v="3"/>
    <m/>
    <n v="99820"/>
    <n v="116519.5"/>
    <n v="133219"/>
  </r>
  <r>
    <s v="Howard"/>
    <s v="April"/>
    <n v="11260"/>
    <d v="2008-07-01T00:00:00"/>
    <m/>
    <m/>
    <d v="2008-07-01T00:00:00"/>
    <m/>
    <x v="9"/>
    <m/>
    <n v="76.538666666666657"/>
    <n v="143510"/>
    <n v="250"/>
    <n v="7.5"/>
    <n v="1"/>
    <n v="143510"/>
    <s v="Central Office"/>
    <x v="14"/>
    <m/>
    <n v="104790"/>
    <n v="125034.5"/>
    <n v="145279"/>
  </r>
  <r>
    <s v="Lintner"/>
    <s v="John"/>
    <n v="10212"/>
    <d v="1992-08-27T00:00:00"/>
    <m/>
    <m/>
    <d v="1992-08-27T00:00:00"/>
    <m/>
    <x v="9"/>
    <m/>
    <n v="77.482133333333337"/>
    <n v="145279"/>
    <n v="250"/>
    <n v="7.5"/>
    <n v="1"/>
    <n v="145279"/>
    <s v="Central Office"/>
    <x v="15"/>
    <m/>
    <n v="104790"/>
    <n v="125034.5"/>
    <n v="145279"/>
  </r>
  <r>
    <s v="Mackail"/>
    <s v="Craig"/>
    <n v="10005"/>
    <d v="2002-07-01T00:00:00"/>
    <m/>
    <m/>
    <d v="2002-07-01T00:00:00"/>
    <m/>
    <x v="9"/>
    <m/>
    <n v="77.482133333333337"/>
    <n v="145279"/>
    <n v="250"/>
    <n v="7.5"/>
    <n v="1"/>
    <n v="145279"/>
    <s v="Central Office"/>
    <x v="16"/>
    <m/>
    <n v="104790"/>
    <n v="125034.5"/>
    <n v="145279"/>
  </r>
  <r>
    <s v="Shaver"/>
    <s v="Tracy"/>
    <n v="12003"/>
    <d v="2011-07-01T00:00:00"/>
    <m/>
    <m/>
    <d v="2011-07-01T00:00:00"/>
    <m/>
    <x v="9"/>
    <m/>
    <n v="77.482133333333337"/>
    <n v="145279"/>
    <n v="250"/>
    <n v="7.5"/>
    <n v="1"/>
    <n v="145279"/>
    <s v="Central Office"/>
    <x v="17"/>
    <m/>
    <n v="104790"/>
    <n v="125034.5"/>
    <n v="145279"/>
  </r>
  <r>
    <s v="Richards"/>
    <s v="Michael"/>
    <n v="14192"/>
    <d v="2019-05-01T00:00:00"/>
    <m/>
    <m/>
    <d v="2019-05-01T00:00:00"/>
    <m/>
    <x v="10"/>
    <m/>
    <n v="100.0384"/>
    <n v="187572"/>
    <n v="250"/>
    <n v="7.5"/>
    <n v="1"/>
    <n v="187572"/>
    <s v="Central Office"/>
    <x v="18"/>
    <m/>
    <m/>
    <m/>
    <m/>
  </r>
  <r>
    <s v="Oliver"/>
    <s v="Cody"/>
    <n v="14698"/>
    <d v="2019-11-01T00:00:00"/>
    <m/>
    <m/>
    <d v="2019-11-01T00:00:00"/>
    <m/>
    <x v="10"/>
    <m/>
    <n v="32.872727272727268"/>
    <n v="50624"/>
    <n v="220"/>
    <n v="7"/>
    <n v="1"/>
    <n v="50624"/>
    <s v="Central Office"/>
    <x v="19"/>
    <m/>
    <m/>
    <m/>
    <m/>
  </r>
  <r>
    <s v="Burley"/>
    <s v="Brandon"/>
    <n v="14273"/>
    <d v="2018-08-13T00:00:00"/>
    <m/>
    <m/>
    <d v="2018-08-13T00:00:00"/>
    <m/>
    <x v="10"/>
    <m/>
    <n v="47.365866666666669"/>
    <n v="88811"/>
    <n v="250"/>
    <n v="7.5"/>
    <n v="1"/>
    <n v="88811"/>
    <s v="Harrisonburg High"/>
    <x v="20"/>
    <m/>
    <m/>
    <m/>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90">
  <r>
    <s v="Abdalla"/>
    <s v="Rishwan"/>
    <n v="14119"/>
    <n v="43122"/>
    <m/>
    <m/>
    <m/>
    <m/>
    <x v="0"/>
    <m/>
    <n v="12.975"/>
    <n v="25950"/>
    <n v="250"/>
    <n v="8"/>
    <n v="1"/>
    <n v="25950"/>
    <s v="Spotswood Elementary"/>
    <s v="Custodian"/>
    <m/>
    <n v="23000"/>
    <n v="33714"/>
    <n v="44428"/>
  </r>
  <r>
    <s v="Adamek"/>
    <s v="Robert"/>
    <n v="12625"/>
    <n v="41523"/>
    <m/>
    <m/>
    <m/>
    <m/>
    <x v="1"/>
    <m/>
    <n v="30.812925170068031"/>
    <n v="45295"/>
    <n v="210"/>
    <n v="7"/>
    <n v="1"/>
    <n v="45295"/>
    <s v="Central Office"/>
    <s v="Photographer"/>
    <m/>
    <m/>
    <m/>
    <m/>
  </r>
  <r>
    <s v="Adjei"/>
    <s v="Elizabeth"/>
    <n v="10337"/>
    <n v="39314"/>
    <m/>
    <m/>
    <m/>
    <m/>
    <x v="2"/>
    <m/>
    <n v="17.739999999999998"/>
    <n v="17562"/>
    <n v="180"/>
    <n v="5.5"/>
    <n v="1"/>
    <n v="17562"/>
    <s v="Thomas Harrison Middle"/>
    <s v="Nutrition Assistant"/>
    <m/>
    <n v="11652"/>
    <n v="14847.5"/>
    <n v="18043"/>
  </r>
  <r>
    <s v="Ahmed"/>
    <s v="Selma"/>
    <n v="13254"/>
    <n v="42241"/>
    <m/>
    <m/>
    <m/>
    <m/>
    <x v="2"/>
    <m/>
    <n v="13.09"/>
    <n v="12964"/>
    <n v="180"/>
    <n v="5.5"/>
    <n v="1"/>
    <n v="12964"/>
    <s v="Bluestone Elementary"/>
    <s v="Nutrition Assistant"/>
    <m/>
    <n v="11652"/>
    <n v="14847.5"/>
    <n v="18043"/>
  </r>
  <r>
    <s v="Al Jumaly"/>
    <s v="Eman"/>
    <n v="14996"/>
    <n v="44263"/>
    <m/>
    <m/>
    <m/>
    <m/>
    <x v="2"/>
    <m/>
    <n v="12.17"/>
    <n v="12052"/>
    <n v="180"/>
    <n v="5.5"/>
    <n v="1"/>
    <n v="12052"/>
    <s v="Spotswood Elementary"/>
    <s v="Nutrition Assistant"/>
    <m/>
    <n v="11652"/>
    <n v="14847.5"/>
    <n v="18043"/>
  </r>
  <r>
    <s v="Al Najdi"/>
    <s v="Rihab"/>
    <n v="15012"/>
    <n v="44272"/>
    <m/>
    <m/>
    <m/>
    <m/>
    <x v="1"/>
    <m/>
    <n v="11"/>
    <n v="5940"/>
    <n v="180"/>
    <n v="3"/>
    <n v="1"/>
    <n v="5940"/>
    <s v="Spotswood Elementary"/>
    <s v="Nutrition Monitor"/>
    <m/>
    <m/>
    <m/>
    <m/>
  </r>
  <r>
    <s v="Al Saadoon"/>
    <s v="Maha"/>
    <n v="13368"/>
    <n v="42284"/>
    <m/>
    <m/>
    <m/>
    <m/>
    <x v="3"/>
    <m/>
    <n v="12.637142857142857"/>
    <n v="17692"/>
    <n v="200"/>
    <n v="7"/>
    <n v="1"/>
    <n v="17692"/>
    <s v="Stone Spring Elementary"/>
    <s v="Teacher Assistant - Instruction"/>
    <m/>
    <n v="17692"/>
    <n v="25107.5"/>
    <n v="32523"/>
  </r>
  <r>
    <s v="Albers"/>
    <s v="Deborah"/>
    <n v="11289"/>
    <n v="39657"/>
    <m/>
    <m/>
    <m/>
    <m/>
    <x v="4"/>
    <m/>
    <n v="19.433"/>
    <n v="38866"/>
    <n v="250"/>
    <n v="8"/>
    <n v="1"/>
    <n v="38866"/>
    <s v="Harrisonburg High"/>
    <s v="Custodian - Head"/>
    <m/>
    <n v="24500"/>
    <n v="35214"/>
    <n v="45928"/>
  </r>
  <r>
    <s v="Al-Jabi"/>
    <s v="Zainab"/>
    <n v="12930"/>
    <n v="42634"/>
    <m/>
    <m/>
    <m/>
    <m/>
    <x v="3"/>
    <m/>
    <n v="12.967142857142857"/>
    <n v="18154"/>
    <n v="200"/>
    <n v="7"/>
    <n v="1"/>
    <n v="18154"/>
    <s v="Stone Spring Elementary"/>
    <s v="Teacher Assistant - SPED"/>
    <m/>
    <n v="17692"/>
    <n v="25107.5"/>
    <n v="32523"/>
  </r>
  <r>
    <s v="Allen"/>
    <s v="Shelby"/>
    <n v="14277"/>
    <n v="43325"/>
    <m/>
    <m/>
    <m/>
    <m/>
    <x v="3"/>
    <m/>
    <n v="18.999285714285715"/>
    <n v="26599"/>
    <n v="200"/>
    <n v="7"/>
    <n v="1"/>
    <n v="26599"/>
    <s v="Elon Rhodes"/>
    <s v="Teacher Assistant - VPI"/>
    <m/>
    <n v="17692"/>
    <n v="25107.5"/>
    <n v="32523"/>
  </r>
  <r>
    <s v="Alsadun"/>
    <s v="Alanoud"/>
    <n v="14171"/>
    <n v="43166"/>
    <m/>
    <m/>
    <m/>
    <m/>
    <x v="3"/>
    <m/>
    <n v="12.967142857142857"/>
    <n v="18154"/>
    <n v="200"/>
    <n v="7"/>
    <n v="1"/>
    <n v="18154"/>
    <s v="Bluestone Elementary"/>
    <s v="Teacher Assistant"/>
    <m/>
    <n v="17692"/>
    <n v="25107.5"/>
    <n v="32523"/>
  </r>
  <r>
    <s v="Alwash"/>
    <s v="Zahraa"/>
    <n v="14389"/>
    <n v="43718"/>
    <m/>
    <m/>
    <m/>
    <m/>
    <x v="5"/>
    <m/>
    <n v="16.226428571428571"/>
    <n v="22717"/>
    <n v="200"/>
    <n v="7"/>
    <n v="1"/>
    <n v="22717"/>
    <s v="Spotswood Elementary"/>
    <s v="Technology I"/>
    <m/>
    <n v="22017"/>
    <n v="29451.5"/>
    <n v="36886"/>
  </r>
  <r>
    <s v="Anderson"/>
    <s v="Cleide"/>
    <n v="10403"/>
    <n v="39314"/>
    <m/>
    <m/>
    <m/>
    <m/>
    <x v="3"/>
    <m/>
    <n v="15.447142857142856"/>
    <n v="21626"/>
    <n v="200"/>
    <n v="7"/>
    <n v="1"/>
    <n v="21626"/>
    <s v="Spotswood Elementary"/>
    <s v="Teacher Assistant - Instruction"/>
    <m/>
    <n v="17692"/>
    <n v="25107.5"/>
    <n v="32523"/>
  </r>
  <r>
    <s v="Andrews Iii"/>
    <s v="Harvie"/>
    <n v="13279"/>
    <n v="42801"/>
    <m/>
    <m/>
    <m/>
    <m/>
    <x v="3"/>
    <m/>
    <n v="12.922857142857142"/>
    <n v="18092"/>
    <n v="200"/>
    <n v="7"/>
    <n v="1"/>
    <n v="18092"/>
    <s v="Spotswood Elementary"/>
    <s v="Teacher Assistant - Newcomers"/>
    <m/>
    <n v="17692"/>
    <n v="25107.5"/>
    <n v="32523"/>
  </r>
  <r>
    <s v="Anglo"/>
    <s v="Daniel"/>
    <n v="13916"/>
    <n v="42955"/>
    <m/>
    <m/>
    <m/>
    <m/>
    <x v="0"/>
    <m/>
    <n v="14.653"/>
    <n v="29306"/>
    <n v="250"/>
    <n v="8"/>
    <n v="1"/>
    <n v="29306"/>
    <s v="Harrisonburg High"/>
    <s v="Custodian"/>
    <m/>
    <n v="23000"/>
    <n v="33714"/>
    <n v="44428"/>
  </r>
  <r>
    <s v="Ayala Iraheta"/>
    <s v="Magaly"/>
    <n v="13683"/>
    <n v="42605"/>
    <m/>
    <m/>
    <m/>
    <m/>
    <x v="6"/>
    <m/>
    <n v="26.47"/>
    <n v="38123"/>
    <n v="180"/>
    <n v="8"/>
    <n v="1"/>
    <n v="38123"/>
    <s v="Harrisonburg High"/>
    <s v="Nutrition Manager"/>
    <m/>
    <n v="26502"/>
    <n v="34084"/>
    <n v="41666"/>
  </r>
  <r>
    <s v="Ayala-Argueta"/>
    <s v="Brenda"/>
    <n v="15113"/>
    <n v="44412"/>
    <m/>
    <m/>
    <m/>
    <m/>
    <x v="3"/>
    <m/>
    <n v="12.78"/>
    <n v="17892"/>
    <n v="200"/>
    <n v="7"/>
    <n v="1"/>
    <n v="17892"/>
    <s v="Elon Rhodes"/>
    <s v="Teacher Assistant - PreK"/>
    <m/>
    <n v="17692"/>
    <n v="25107.5"/>
    <n v="32523"/>
  </r>
  <r>
    <s v="Babalinova"/>
    <s v="Olga"/>
    <n v="14942"/>
    <n v="44137"/>
    <m/>
    <m/>
    <m/>
    <m/>
    <x v="2"/>
    <m/>
    <n v="12.52"/>
    <n v="12393"/>
    <n v="180"/>
    <n v="5.5"/>
    <n v="1"/>
    <n v="12393"/>
    <s v="Waterman Elementary"/>
    <s v="Nutrition Assistant"/>
    <m/>
    <n v="11652"/>
    <n v="14847.5"/>
    <n v="18043"/>
  </r>
  <r>
    <s v="Babington"/>
    <s v="Brenda"/>
    <n v="14611"/>
    <n v="43696"/>
    <m/>
    <m/>
    <m/>
    <m/>
    <x v="0"/>
    <m/>
    <n v="15.884499999999999"/>
    <n v="31769"/>
    <n v="250"/>
    <n v="8"/>
    <n v="1"/>
    <n v="31769"/>
    <s v="Waterman Elementary"/>
    <s v="Custodian"/>
    <m/>
    <n v="23000"/>
    <n v="33714"/>
    <n v="44428"/>
  </r>
  <r>
    <s v="Bajrami"/>
    <s v="Valbona"/>
    <n v="12946"/>
    <n v="41904"/>
    <m/>
    <m/>
    <m/>
    <m/>
    <x v="1"/>
    <m/>
    <n v="16.12"/>
    <n v="11606.4"/>
    <n v="180"/>
    <n v="4"/>
    <n v="1"/>
    <n v="11606.4"/>
    <s v="Skyline Middle"/>
    <s v="Nutrition Assistant Part Time"/>
    <m/>
    <m/>
    <m/>
    <m/>
  </r>
  <r>
    <s v="Ballance"/>
    <s v="Chinia"/>
    <n v="14311"/>
    <n v="43325"/>
    <m/>
    <m/>
    <m/>
    <m/>
    <x v="3"/>
    <m/>
    <n v="16.385714285714286"/>
    <n v="22940"/>
    <n v="200"/>
    <n v="7"/>
    <n v="1"/>
    <n v="22940"/>
    <s v="Elon Rhodes"/>
    <s v="Teacher Assistant - VPI"/>
    <m/>
    <n v="17692"/>
    <n v="25107.5"/>
    <n v="32523"/>
  </r>
  <r>
    <s v="Barb"/>
    <s v="Pamela"/>
    <n v="14699"/>
    <n v="43770"/>
    <m/>
    <m/>
    <m/>
    <m/>
    <x v="1"/>
    <m/>
    <n v="11"/>
    <n v="5940"/>
    <n v="180"/>
    <n v="3"/>
    <n v="1"/>
    <n v="5940"/>
    <s v="Skyline Middle"/>
    <s v="Nutrition Monitor"/>
    <m/>
    <m/>
    <m/>
    <m/>
  </r>
  <r>
    <s v="Bare"/>
    <s v="Kara"/>
    <n v="14134"/>
    <n v="43157"/>
    <m/>
    <m/>
    <m/>
    <m/>
    <x v="7"/>
    <m/>
    <n v="24.619199999999999"/>
    <n v="46161"/>
    <n v="250"/>
    <n v="7.5"/>
    <n v="1"/>
    <n v="46161"/>
    <s v="Central Office"/>
    <s v="Secretary - Accounts Payable"/>
    <m/>
    <n v="26618"/>
    <n v="38596.5"/>
    <n v="50575"/>
  </r>
  <r>
    <s v="Bear"/>
    <s v="Jason"/>
    <n v="14962"/>
    <n v="44230"/>
    <m/>
    <m/>
    <m/>
    <m/>
    <x v="8"/>
    <m/>
    <n v="26.234999999999999"/>
    <n v="52470"/>
    <n v="250"/>
    <n v="8"/>
    <n v="1"/>
    <n v="52470"/>
    <s v="School Division"/>
    <s v="Maintenance - Electrician"/>
    <m/>
    <n v="41910"/>
    <n v="51358.5"/>
    <n v="60807"/>
  </r>
  <r>
    <s v="Beatty"/>
    <s v="Ellen"/>
    <n v="13091"/>
    <n v="42066"/>
    <m/>
    <m/>
    <m/>
    <m/>
    <x v="3"/>
    <m/>
    <n v="18.999285714285715"/>
    <n v="26599"/>
    <n v="200"/>
    <n v="7"/>
    <n v="1"/>
    <n v="26599"/>
    <s v="Thomas Harrison Middle"/>
    <s v="Library Assistant"/>
    <m/>
    <n v="17692"/>
    <n v="25107.5"/>
    <n v="32523"/>
  </r>
  <r>
    <s v="Beck"/>
    <s v="Daniela"/>
    <n v="11444"/>
    <n v="39818"/>
    <m/>
    <m/>
    <m/>
    <m/>
    <x v="3"/>
    <m/>
    <n v="15.185"/>
    <n v="21259"/>
    <n v="200"/>
    <n v="7"/>
    <n v="1"/>
    <n v="21259"/>
    <s v="Stone Spring Elementary"/>
    <s v="Teacher Assistant - Instruction"/>
    <m/>
    <n v="17692"/>
    <n v="25107.5"/>
    <n v="32523"/>
  </r>
  <r>
    <s v="Bennett"/>
    <s v="Vickie"/>
    <n v="10621"/>
    <n v="36031"/>
    <m/>
    <m/>
    <m/>
    <m/>
    <x v="3"/>
    <m/>
    <n v="17.207857142857144"/>
    <n v="24091"/>
    <n v="200"/>
    <n v="7"/>
    <n v="1"/>
    <n v="24091"/>
    <s v="Skyline Middle"/>
    <s v="Teacher Assistant - ISS"/>
    <m/>
    <n v="17692"/>
    <n v="25107.5"/>
    <n v="32523"/>
  </r>
  <r>
    <s v="Berry"/>
    <s v="Brent"/>
    <n v="13958"/>
    <n v="42968"/>
    <m/>
    <m/>
    <m/>
    <m/>
    <x v="2"/>
    <m/>
    <n v="12.52"/>
    <n v="12393"/>
    <n v="180"/>
    <n v="5.5"/>
    <n v="1"/>
    <n v="12393"/>
    <s v="Harrisonburg High"/>
    <s v="Nutrition Assistant"/>
    <m/>
    <n v="11652"/>
    <n v="14847.5"/>
    <n v="18043"/>
  </r>
  <r>
    <s v="Blackmer"/>
    <s v="Beth"/>
    <n v="14083"/>
    <n v="43102"/>
    <m/>
    <m/>
    <m/>
    <m/>
    <x v="1"/>
    <m/>
    <n v="11"/>
    <n v="5940"/>
    <n v="180"/>
    <n v="3"/>
    <n v="1"/>
    <n v="5940"/>
    <s v="Bluestone Elementary"/>
    <s v="Nutrition Monitor"/>
    <m/>
    <m/>
    <m/>
    <m/>
  </r>
  <r>
    <s v="Blackwell"/>
    <s v="Lynda"/>
    <n v="10056"/>
    <n v="37489"/>
    <m/>
    <m/>
    <m/>
    <m/>
    <x v="9"/>
    <m/>
    <n v="20.272077922077923"/>
    <n v="31219"/>
    <n v="220"/>
    <n v="7"/>
    <n v="1"/>
    <n v="31219"/>
    <s v="Harrisonburg High"/>
    <s v="Secretary - Administrative"/>
    <m/>
    <n v="26618"/>
    <n v="38596.5"/>
    <n v="50575"/>
  </r>
  <r>
    <s v="Blake"/>
    <s v="Yolanda"/>
    <n v="10042"/>
    <n v="37645"/>
    <m/>
    <m/>
    <m/>
    <m/>
    <x v="10"/>
    <m/>
    <n v="24.976428571428574"/>
    <n v="34967"/>
    <n v="200"/>
    <n v="7"/>
    <n v="1"/>
    <n v="34967"/>
    <s v="Harrisonburg High"/>
    <s v="Home School Liaison"/>
    <m/>
    <n v="30655"/>
    <n v="36071.5"/>
    <n v="41488"/>
  </r>
  <r>
    <s v="Blatt"/>
    <s v="Jane-Perry"/>
    <n v="12062"/>
    <n v="40770"/>
    <m/>
    <m/>
    <m/>
    <m/>
    <x v="3"/>
    <m/>
    <n v="26.470714285714283"/>
    <n v="37059"/>
    <n v="200"/>
    <n v="7"/>
    <n v="1"/>
    <n v="37059"/>
    <s v="Smithland Elementary"/>
    <s v="Teacher Assistant - Instruction"/>
    <m/>
    <n v="17692"/>
    <n v="25107.5"/>
    <n v="32523"/>
  </r>
  <r>
    <s v="Blosser"/>
    <s v="Janna"/>
    <n v="11789"/>
    <n v="40403"/>
    <m/>
    <m/>
    <m/>
    <m/>
    <x v="3"/>
    <m/>
    <n v="15.968571428571428"/>
    <n v="22356"/>
    <n v="200"/>
    <n v="7"/>
    <n v="1"/>
    <n v="22356"/>
    <s v="Waterman Elementary"/>
    <s v="Teacher Assistant - Instruction"/>
    <m/>
    <n v="17692"/>
    <n v="25107.5"/>
    <n v="32523"/>
  </r>
  <r>
    <s v="Bocock"/>
    <s v="Susan"/>
    <n v="11717"/>
    <n v="40240"/>
    <m/>
    <m/>
    <m/>
    <m/>
    <x v="3"/>
    <m/>
    <n v="14.400714285714287"/>
    <n v="20161"/>
    <n v="200"/>
    <n v="7"/>
    <n v="1"/>
    <n v="20161"/>
    <s v="Harrisonburg High"/>
    <s v="Teacher Assistant - SPED"/>
    <m/>
    <n v="17692"/>
    <n v="25107.5"/>
    <n v="32523"/>
  </r>
  <r>
    <s v="Bodkins"/>
    <s v="Ronald"/>
    <n v="13910"/>
    <n v="42948"/>
    <m/>
    <m/>
    <m/>
    <m/>
    <x v="4"/>
    <m/>
    <n v="21.44"/>
    <n v="42880"/>
    <n v="250"/>
    <n v="8"/>
    <n v="1"/>
    <n v="42880"/>
    <s v="Spotswood Elementary"/>
    <s v="Custodian - Head"/>
    <m/>
    <n v="24500"/>
    <n v="35214"/>
    <n v="45928"/>
  </r>
  <r>
    <s v="Bosley"/>
    <s v="Teri"/>
    <n v="11286"/>
    <n v="39668"/>
    <m/>
    <m/>
    <m/>
    <m/>
    <x v="11"/>
    <m/>
    <n v="37.87959183673469"/>
    <n v="55683"/>
    <n v="210"/>
    <n v="7"/>
    <n v="1"/>
    <n v="55683"/>
    <s v="Smithland Elementary"/>
    <s v="School Nurse - RN"/>
    <m/>
    <n v="48500"/>
    <n v="56919"/>
    <n v="65338"/>
  </r>
  <r>
    <s v="Bradford"/>
    <s v="Susan"/>
    <n v="10623"/>
    <n v="36437"/>
    <m/>
    <m/>
    <m/>
    <m/>
    <x v="3"/>
    <m/>
    <n v="16.805"/>
    <n v="23527"/>
    <n v="200"/>
    <n v="7"/>
    <n v="1"/>
    <n v="23527"/>
    <s v="Skyline Middle"/>
    <s v="Teacher Assistant - Media Center"/>
    <m/>
    <n v="17692"/>
    <n v="25107.5"/>
    <n v="32523"/>
  </r>
  <r>
    <s v="Breeden"/>
    <s v="Regina"/>
    <n v="12550"/>
    <n v="41442"/>
    <m/>
    <m/>
    <m/>
    <m/>
    <x v="12"/>
    <m/>
    <n v="29.460266666666666"/>
    <n v="55238"/>
    <n v="250"/>
    <n v="7.5"/>
    <n v="1"/>
    <n v="55238"/>
    <s v="Central Office"/>
    <s v="Secretary - Administrative"/>
    <m/>
    <n v="35429"/>
    <n v="48714.5"/>
    <n v="62000"/>
  </r>
  <r>
    <s v="Brewer"/>
    <s v="Ryan"/>
    <n v="14695"/>
    <n v="43761"/>
    <m/>
    <m/>
    <m/>
    <m/>
    <x v="3"/>
    <m/>
    <n v="14.663571428571428"/>
    <n v="20529"/>
    <n v="200"/>
    <n v="7"/>
    <n v="1"/>
    <n v="20529"/>
    <s v="Bluestone Elementary"/>
    <s v="Teacher Assistant"/>
    <m/>
    <n v="17692"/>
    <n v="25107.5"/>
    <n v="32523"/>
  </r>
  <r>
    <s v="Bridges"/>
    <s v="Cynthia"/>
    <n v="14336"/>
    <n v="43315"/>
    <m/>
    <m/>
    <m/>
    <m/>
    <x v="4"/>
    <m/>
    <n v="20.664999999999999"/>
    <n v="41330"/>
    <n v="250"/>
    <n v="8"/>
    <n v="1"/>
    <n v="41330"/>
    <s v="Bluestone Elementary"/>
    <s v="Custodian - Head"/>
    <m/>
    <n v="24500"/>
    <n v="35214"/>
    <n v="45928"/>
  </r>
  <r>
    <s v="Brogowski"/>
    <s v="Heather"/>
    <n v="14559"/>
    <n v="43689"/>
    <m/>
    <m/>
    <m/>
    <m/>
    <x v="3"/>
    <m/>
    <n v="13.37857142857143"/>
    <n v="18730"/>
    <n v="200"/>
    <n v="7"/>
    <n v="1"/>
    <n v="18730"/>
    <s v="Elon Rhodes"/>
    <s v="Teacher Assistant - VPI"/>
    <m/>
    <n v="17692"/>
    <n v="25107.5"/>
    <n v="32523"/>
  </r>
  <r>
    <s v="Brubaker"/>
    <s v="Regina"/>
    <n v="14889"/>
    <n v="44055"/>
    <m/>
    <m/>
    <m/>
    <m/>
    <x v="3"/>
    <m/>
    <n v="20.410714285714285"/>
    <n v="28575"/>
    <n v="200"/>
    <n v="7"/>
    <n v="1"/>
    <n v="28575"/>
    <s v="Elon Rhodes"/>
    <s v="Teacher Assistant - VPI"/>
    <m/>
    <n v="17692"/>
    <n v="25107.5"/>
    <n v="32523"/>
  </r>
  <r>
    <s v="Burns"/>
    <s v="Hannah"/>
    <n v="10510"/>
    <n v="38215"/>
    <m/>
    <m/>
    <m/>
    <m/>
    <x v="3"/>
    <m/>
    <n v="18.999285714285715"/>
    <n v="26599"/>
    <n v="200"/>
    <n v="7"/>
    <n v="1"/>
    <n v="26599"/>
    <s v="Stone Spring Elementary"/>
    <s v="Teacher Assistant - SPED"/>
    <m/>
    <n v="17692"/>
    <n v="25107.5"/>
    <n v="32523"/>
  </r>
  <r>
    <s v="Buster"/>
    <s v="Glenda"/>
    <n v="10243"/>
    <n v="36570"/>
    <m/>
    <m/>
    <m/>
    <m/>
    <x v="13"/>
    <m/>
    <n v="25.077076411960132"/>
    <n v="37741"/>
    <n v="215"/>
    <n v="7"/>
    <n v="1"/>
    <n v="37741"/>
    <s v="Keister Elementary"/>
    <s v="Secretary"/>
    <m/>
    <n v="24198"/>
    <n v="36297"/>
    <n v="48396"/>
  </r>
  <r>
    <s v="Byler"/>
    <s v="Sandra"/>
    <n v="12036"/>
    <n v="40763"/>
    <m/>
    <m/>
    <m/>
    <m/>
    <x v="11"/>
    <m/>
    <n v="43.509523809523806"/>
    <n v="63959"/>
    <n v="210"/>
    <n v="7"/>
    <n v="1"/>
    <n v="63959"/>
    <s v="Waterman Elementary"/>
    <s v="School Nurse - RN"/>
    <m/>
    <n v="48500"/>
    <n v="56919"/>
    <n v="65338"/>
  </r>
  <r>
    <s v="Caceres"/>
    <s v="Grazia"/>
    <n v="14917"/>
    <n v="44067"/>
    <m/>
    <m/>
    <m/>
    <m/>
    <x v="3"/>
    <m/>
    <n v="14.228571428571428"/>
    <n v="19920"/>
    <n v="200"/>
    <n v="7"/>
    <n v="1"/>
    <n v="19920"/>
    <s v="Waterman Elementary"/>
    <s v="Teacher Assistant - Instruction"/>
    <m/>
    <n v="17692"/>
    <n v="25107.5"/>
    <n v="32523"/>
  </r>
  <r>
    <s v="Carico"/>
    <s v="Joshua"/>
    <n v="12589"/>
    <n v="41484"/>
    <m/>
    <m/>
    <m/>
    <m/>
    <x v="0"/>
    <m/>
    <n v="12.975"/>
    <n v="25950"/>
    <n v="250"/>
    <n v="8"/>
    <n v="1"/>
    <n v="25950"/>
    <s v="Harrisonburg High"/>
    <s v="Custodian"/>
    <m/>
    <n v="23000"/>
    <n v="33714"/>
    <n v="44428"/>
  </r>
  <r>
    <s v="Carper"/>
    <s v="Marilou"/>
    <n v="11820"/>
    <n v="40413"/>
    <m/>
    <m/>
    <m/>
    <m/>
    <x v="2"/>
    <m/>
    <n v="13.69"/>
    <n v="13557"/>
    <n v="180"/>
    <n v="5.5"/>
    <n v="1"/>
    <n v="13557"/>
    <s v="Spotswood Elementary"/>
    <s v="Nutrition Assistant"/>
    <m/>
    <n v="11652"/>
    <n v="14847.5"/>
    <n v="18043"/>
  </r>
  <r>
    <s v="Casey"/>
    <s v="Karen"/>
    <n v="12329"/>
    <n v="41109"/>
    <m/>
    <m/>
    <m/>
    <m/>
    <x v="14"/>
    <m/>
    <n v="21.567999999999998"/>
    <n v="40440"/>
    <n v="250"/>
    <n v="7.5"/>
    <n v="1"/>
    <n v="40440"/>
    <s v="Central Office"/>
    <s v="Secretary - SPED"/>
    <m/>
    <n v="32208"/>
    <n v="45091"/>
    <n v="57974"/>
  </r>
  <r>
    <s v="Cash"/>
    <s v="Beth"/>
    <n v="10029"/>
    <n v="36759"/>
    <m/>
    <m/>
    <m/>
    <m/>
    <x v="13"/>
    <m/>
    <n v="22.150399999999998"/>
    <n v="41532"/>
    <n v="250"/>
    <n v="7.5"/>
    <n v="1"/>
    <n v="41532"/>
    <s v="Harrisonburg High"/>
    <s v="Secretary - Administrative/Receptionist"/>
    <m/>
    <n v="24198"/>
    <n v="36297"/>
    <n v="48396"/>
  </r>
  <r>
    <s v="Christo"/>
    <s v="Ivan"/>
    <n v="14617"/>
    <n v="43689"/>
    <m/>
    <m/>
    <m/>
    <m/>
    <x v="3"/>
    <m/>
    <n v="12.967142857142857"/>
    <n v="18154"/>
    <n v="200"/>
    <n v="7"/>
    <n v="1"/>
    <n v="18154"/>
    <s v="Spotswood Elementary"/>
    <s v="Teacher Assistant"/>
    <m/>
    <n v="17692"/>
    <n v="25107.5"/>
    <n v="32523"/>
  </r>
  <r>
    <s v="Cid De Sosa"/>
    <s v="Flor"/>
    <n v="14293"/>
    <n v="43276"/>
    <m/>
    <m/>
    <m/>
    <m/>
    <x v="0"/>
    <m/>
    <n v="15.884499999999999"/>
    <n v="31769"/>
    <n v="250"/>
    <n v="8"/>
    <n v="1"/>
    <n v="31769"/>
    <s v="Spotswood Elementary"/>
    <s v="Custodian"/>
    <m/>
    <n v="23000"/>
    <n v="33714"/>
    <n v="44428"/>
  </r>
  <r>
    <s v="Clark"/>
    <s v="Randi"/>
    <n v="12394"/>
    <n v="41156"/>
    <m/>
    <m/>
    <m/>
    <m/>
    <x v="3"/>
    <m/>
    <n v="13.877857142857142"/>
    <n v="19429"/>
    <n v="200"/>
    <n v="7"/>
    <n v="1"/>
    <n v="19429"/>
    <s v="Harrisonburg High"/>
    <s v="Teacher Assistant - 4T"/>
    <m/>
    <n v="17692"/>
    <n v="25107.5"/>
    <n v="32523"/>
  </r>
  <r>
    <s v="Clatterbuck"/>
    <s v="Martha"/>
    <n v="10978"/>
    <n v="37428"/>
    <m/>
    <m/>
    <m/>
    <m/>
    <x v="15"/>
    <m/>
    <n v="26.237333333333332"/>
    <n v="49195"/>
    <n v="250"/>
    <n v="7.5"/>
    <n v="1"/>
    <n v="49195"/>
    <s v="Harrisonburg High"/>
    <s v="Computer Resource Technician"/>
    <m/>
    <n v="42007"/>
    <n v="54516.5"/>
    <n v="67026"/>
  </r>
  <r>
    <s v="Cleveland"/>
    <s v="Ebony"/>
    <n v="14918"/>
    <n v="44074"/>
    <m/>
    <m/>
    <m/>
    <m/>
    <x v="3"/>
    <m/>
    <n v="14.14"/>
    <n v="19796"/>
    <n v="200"/>
    <n v="7"/>
    <n v="1"/>
    <n v="19796"/>
    <s v="Keister Elementary"/>
    <s v="Teacher Assistant - VPI"/>
    <m/>
    <n v="17692"/>
    <n v="25107.5"/>
    <n v="32523"/>
  </r>
  <r>
    <s v="Comer"/>
    <s v="Gerry"/>
    <n v="13670"/>
    <n v="42605"/>
    <m/>
    <m/>
    <m/>
    <m/>
    <x v="5"/>
    <m/>
    <n v="27.966428571428569"/>
    <n v="39153"/>
    <n v="200"/>
    <n v="7"/>
    <n v="1"/>
    <n v="39153"/>
    <s v="Keister Elementary"/>
    <s v="Technology I"/>
    <m/>
    <n v="22017"/>
    <n v="29451.5"/>
    <n v="36886"/>
  </r>
  <r>
    <s v="Conley"/>
    <s v="Brigette"/>
    <n v="10513"/>
    <n v="35066"/>
    <m/>
    <m/>
    <m/>
    <m/>
    <x v="3"/>
    <m/>
    <n v="16.385714285714286"/>
    <n v="22940"/>
    <n v="200"/>
    <n v="7"/>
    <n v="1"/>
    <n v="22940"/>
    <s v="Stone Spring Elementary"/>
    <s v="Teacher Assistant - Instruction"/>
    <m/>
    <n v="17692"/>
    <n v="25107.5"/>
    <n v="32523"/>
  </r>
  <r>
    <s v="Cordova"/>
    <s v="Anaid"/>
    <n v="13912"/>
    <n v="42968"/>
    <m/>
    <m/>
    <m/>
    <m/>
    <x v="11"/>
    <m/>
    <n v="39.756462585034015"/>
    <n v="58442"/>
    <n v="210"/>
    <n v="7"/>
    <n v="1"/>
    <n v="58442"/>
    <s v="Spotswood Elementary"/>
    <s v="School Nurse - RN"/>
    <m/>
    <n v="48500"/>
    <n v="56919"/>
    <n v="65338"/>
  </r>
  <r>
    <s v="Correa"/>
    <s v="Melanie"/>
    <n v="14706"/>
    <n v="43780"/>
    <m/>
    <m/>
    <m/>
    <m/>
    <x v="3"/>
    <m/>
    <n v="14.924999999999999"/>
    <n v="20895"/>
    <n v="200"/>
    <n v="7"/>
    <n v="1"/>
    <n v="20895"/>
    <s v="Waterman Elementary"/>
    <s v="Teacher Assistant - SPED"/>
    <m/>
    <n v="17692"/>
    <n v="25107.5"/>
    <n v="32523"/>
  </r>
  <r>
    <s v="Cortes"/>
    <s v="Marissa"/>
    <n v="10410"/>
    <n v="39056"/>
    <m/>
    <m/>
    <m/>
    <m/>
    <x v="3"/>
    <m/>
    <n v="14.663571428571428"/>
    <n v="20529"/>
    <n v="200"/>
    <n v="7"/>
    <n v="1"/>
    <n v="20529"/>
    <s v="Waterman Elementary"/>
    <s v="Teacher Assistant - Instruction"/>
    <m/>
    <n v="17692"/>
    <n v="25107.5"/>
    <n v="32523"/>
  </r>
  <r>
    <s v="Counts"/>
    <s v="Ann"/>
    <n v="14908"/>
    <n v="44067"/>
    <m/>
    <m/>
    <m/>
    <m/>
    <x v="0"/>
    <m/>
    <n v="16.245999999999999"/>
    <n v="32492"/>
    <n v="250"/>
    <n v="8"/>
    <n v="1"/>
    <n v="32492"/>
    <s v="Harrisonburg High"/>
    <s v="Custodian"/>
    <m/>
    <n v="23000"/>
    <n v="33714"/>
    <n v="44428"/>
  </r>
  <r>
    <s v="Craun"/>
    <s v="Cheryl"/>
    <n v="10609"/>
    <n v="34710"/>
    <m/>
    <m/>
    <m/>
    <m/>
    <x v="16"/>
    <m/>
    <n v="19.210666666666668"/>
    <n v="36020"/>
    <n v="250"/>
    <n v="7.5"/>
    <n v="1"/>
    <n v="36020"/>
    <s v="Thomas Harrison Middle"/>
    <s v="Secretary - Administrative"/>
    <m/>
    <n v="29279"/>
    <n v="41723"/>
    <n v="54167"/>
  </r>
  <r>
    <s v="Crist"/>
    <s v="Tina"/>
    <n v="11808"/>
    <n v="40403"/>
    <m/>
    <m/>
    <m/>
    <m/>
    <x v="3"/>
    <m/>
    <n v="18.059285714285714"/>
    <n v="25283"/>
    <n v="200"/>
    <n v="7"/>
    <n v="1"/>
    <n v="25283"/>
    <s v="Skyline Middle"/>
    <s v="Teacher Assistant - SPED"/>
    <m/>
    <n v="17692"/>
    <n v="25107.5"/>
    <n v="32523"/>
  </r>
  <r>
    <s v="Cruz"/>
    <s v="Evelyn"/>
    <n v="13981"/>
    <n v="42983"/>
    <m/>
    <m/>
    <m/>
    <m/>
    <x v="3"/>
    <m/>
    <n v="14.663571428571428"/>
    <n v="20529"/>
    <n v="200"/>
    <n v="7"/>
    <n v="1"/>
    <n v="20529"/>
    <s v="Skyline Middle"/>
    <s v="Teacher Assistant - SPED"/>
    <m/>
    <n v="17692"/>
    <n v="25107.5"/>
    <n v="32523"/>
  </r>
  <r>
    <s v="Cuevas"/>
    <s v="Carmen"/>
    <n v="13255"/>
    <n v="42241"/>
    <m/>
    <m/>
    <m/>
    <m/>
    <x v="2"/>
    <m/>
    <n v="13.33"/>
    <n v="13196"/>
    <n v="180"/>
    <n v="5.5"/>
    <n v="1"/>
    <n v="13196"/>
    <s v="Harrisonburg High"/>
    <s v="Nutrition Assistant"/>
    <m/>
    <n v="11652"/>
    <n v="14847.5"/>
    <n v="18043"/>
  </r>
  <r>
    <s v="Czyszczon"/>
    <s v="Susan"/>
    <n v="12469"/>
    <n v="41225"/>
    <m/>
    <m/>
    <m/>
    <m/>
    <x v="3"/>
    <m/>
    <n v="13.767857142857142"/>
    <n v="19275"/>
    <n v="200"/>
    <n v="7"/>
    <n v="1"/>
    <n v="19275"/>
    <s v="Smithland Elementary"/>
    <s v="Teacher Assistant - Media Center"/>
    <m/>
    <n v="17692"/>
    <n v="25107.5"/>
    <n v="32523"/>
  </r>
  <r>
    <s v="Dames"/>
    <s v="Bayan"/>
    <n v="14749"/>
    <n v="43810"/>
    <m/>
    <m/>
    <m/>
    <m/>
    <x v="3"/>
    <m/>
    <n v="12.78"/>
    <n v="17892"/>
    <n v="200"/>
    <n v="7"/>
    <n v="1"/>
    <n v="17892"/>
    <s v="Spotswood Elementary"/>
    <s v="Teacher Assistant - Instruction"/>
    <m/>
    <n v="17692"/>
    <n v="25107.5"/>
    <n v="32523"/>
  </r>
  <r>
    <s v="Davis"/>
    <s v="Shannon"/>
    <n v="11371"/>
    <n v="39708"/>
    <m/>
    <m/>
    <m/>
    <m/>
    <x v="15"/>
    <m/>
    <n v="28.017600000000002"/>
    <n v="52533"/>
    <n v="250"/>
    <n v="7.5"/>
    <n v="1"/>
    <n v="52533"/>
    <s v="Central Office"/>
    <s v="Database Specialist"/>
    <m/>
    <n v="42007"/>
    <n v="54516.5"/>
    <n v="67026"/>
  </r>
  <r>
    <s v="Dayton"/>
    <s v="Robin"/>
    <n v="10494"/>
    <n v="33933"/>
    <m/>
    <m/>
    <m/>
    <m/>
    <x v="13"/>
    <m/>
    <n v="25.061038961038964"/>
    <n v="38594"/>
    <n v="220"/>
    <n v="7"/>
    <n v="1"/>
    <n v="38594"/>
    <s v="Stone Spring Elementary"/>
    <s v="Secretary"/>
    <m/>
    <n v="24198"/>
    <n v="36297"/>
    <n v="48396"/>
  </r>
  <r>
    <s v="De Lourdes Guevara"/>
    <s v="Maria"/>
    <n v="14637"/>
    <n v="43731"/>
    <m/>
    <m/>
    <m/>
    <m/>
    <x v="2"/>
    <m/>
    <n v="12.52"/>
    <n v="12393"/>
    <n v="180"/>
    <n v="5.5"/>
    <n v="1"/>
    <n v="12393"/>
    <s v="Harrisonburg High"/>
    <s v="Nutrition Assistant"/>
    <m/>
    <n v="11652"/>
    <n v="14847.5"/>
    <n v="18043"/>
  </r>
  <r>
    <s v="Dean"/>
    <s v="Zanda"/>
    <n v="11251"/>
    <n v="39661"/>
    <m/>
    <m/>
    <m/>
    <m/>
    <x v="13"/>
    <m/>
    <n v="32.963945578231296"/>
    <n v="48457"/>
    <n v="210"/>
    <n v="7"/>
    <n v="1"/>
    <n v="48457"/>
    <s v="Skyline Middle"/>
    <s v="Secretary - Receptionist"/>
    <m/>
    <n v="24198"/>
    <n v="36297"/>
    <n v="48396"/>
  </r>
  <r>
    <s v="Deputy"/>
    <s v="Jacqueline"/>
    <n v="13261"/>
    <n v="42241"/>
    <m/>
    <m/>
    <m/>
    <m/>
    <x v="1"/>
    <m/>
    <n v="11"/>
    <n v="5940"/>
    <n v="180"/>
    <n v="3"/>
    <n v="1"/>
    <n v="5940"/>
    <s v="Smithland Elementary"/>
    <s v="Nutrition Monitor"/>
    <m/>
    <m/>
    <m/>
    <m/>
  </r>
  <r>
    <s v="Derrer"/>
    <s v="Joyce"/>
    <n v="11673"/>
    <n v="40148"/>
    <m/>
    <m/>
    <m/>
    <m/>
    <x v="2"/>
    <m/>
    <n v="14.91"/>
    <n v="14758"/>
    <n v="180"/>
    <n v="5.5"/>
    <n v="1"/>
    <n v="14758"/>
    <s v="Smithland Elementary"/>
    <s v="Nutrition Assistant"/>
    <m/>
    <n v="11652"/>
    <n v="14847.5"/>
    <n v="18043"/>
  </r>
  <r>
    <s v="Diaz"/>
    <s v="Medalyn"/>
    <n v="14435"/>
    <n v="43647"/>
    <m/>
    <m/>
    <m/>
    <m/>
    <x v="9"/>
    <m/>
    <n v="15.013866666666667"/>
    <n v="28151"/>
    <n v="250"/>
    <n v="7.5"/>
    <n v="1"/>
    <n v="28151"/>
    <s v="Skyline Middle"/>
    <s v="Registrar/Secretary"/>
    <m/>
    <n v="26618"/>
    <n v="38596.5"/>
    <n v="50575"/>
  </r>
  <r>
    <s v="Diaz"/>
    <s v="Myriam"/>
    <n v="14217"/>
    <n v="43213"/>
    <m/>
    <m/>
    <m/>
    <m/>
    <x v="3"/>
    <m/>
    <n v="14.228571428571428"/>
    <n v="19920"/>
    <n v="200"/>
    <n v="7"/>
    <n v="1"/>
    <n v="19920"/>
    <s v="Bluestone Elementary"/>
    <s v="Teacher Assistant - Instruction"/>
    <m/>
    <n v="17692"/>
    <n v="25107.5"/>
    <n v="32523"/>
  </r>
  <r>
    <s v="Dove"/>
    <s v="Randy"/>
    <n v="10325"/>
    <n v="36003"/>
    <m/>
    <m/>
    <m/>
    <m/>
    <x v="17"/>
    <m/>
    <n v="30.362500000000001"/>
    <n v="60725"/>
    <n v="250"/>
    <n v="8"/>
    <n v="1"/>
    <n v="60725"/>
    <s v="School Division"/>
    <s v="Maintenance"/>
    <m/>
    <n v="27037"/>
    <n v="39859"/>
    <n v="52681"/>
  </r>
  <r>
    <s v="Dovel"/>
    <s v="Danny"/>
    <n v="12154"/>
    <n v="40840"/>
    <m/>
    <m/>
    <m/>
    <m/>
    <x v="0"/>
    <m/>
    <n v="18.817499999999999"/>
    <n v="37635"/>
    <n v="250"/>
    <n v="8"/>
    <n v="1"/>
    <n v="37635"/>
    <s v="Keister Elementary"/>
    <s v="Custodian"/>
    <m/>
    <n v="23000"/>
    <n v="33714"/>
    <n v="44428"/>
  </r>
  <r>
    <s v="Doyle"/>
    <s v="David"/>
    <n v="10624"/>
    <n v="38580"/>
    <m/>
    <m/>
    <m/>
    <m/>
    <x v="3"/>
    <m/>
    <n v="14.924999999999999"/>
    <n v="20895"/>
    <n v="200"/>
    <n v="7"/>
    <n v="1"/>
    <n v="20895"/>
    <s v="Harrisonburg High"/>
    <s v="Teacher Assistant - Instruction"/>
    <m/>
    <n v="17692"/>
    <n v="25107.5"/>
    <n v="32523"/>
  </r>
  <r>
    <s v="Duong"/>
    <s v="Tran"/>
    <n v="10347"/>
    <n v="38951"/>
    <m/>
    <m/>
    <m/>
    <m/>
    <x v="2"/>
    <m/>
    <n v="14.5"/>
    <n v="14354"/>
    <n v="180"/>
    <n v="5.5"/>
    <n v="1"/>
    <n v="14354"/>
    <s v="Bluestone Elementary"/>
    <s v="Nutrition Assistant"/>
    <m/>
    <n v="11652"/>
    <n v="14847.5"/>
    <n v="18043"/>
  </r>
  <r>
    <s v="Eby"/>
    <s v="Karmen"/>
    <n v="12896"/>
    <n v="41885"/>
    <m/>
    <m/>
    <m/>
    <m/>
    <x v="3"/>
    <m/>
    <n v="14.14"/>
    <n v="19796"/>
    <n v="200"/>
    <n v="7"/>
    <n v="1"/>
    <n v="19796"/>
    <s v="Bluestone Elementary"/>
    <s v="Teacher Assistant - Instruction"/>
    <m/>
    <n v="17692"/>
    <n v="25107.5"/>
    <n v="32523"/>
  </r>
  <r>
    <s v="Eckard"/>
    <s v="Sara"/>
    <n v="14985"/>
    <n v="44263"/>
    <m/>
    <m/>
    <m/>
    <m/>
    <x v="2"/>
    <m/>
    <n v="12.87"/>
    <n v="12738"/>
    <n v="180"/>
    <n v="5.5"/>
    <n v="1"/>
    <n v="12738"/>
    <s v="Spotswood Elementary"/>
    <s v="Nutrition Assistant"/>
    <m/>
    <n v="11652"/>
    <n v="14847.5"/>
    <n v="18043"/>
  </r>
  <r>
    <s v="Elbur"/>
    <s v="Huria"/>
    <n v="13667"/>
    <n v="42604"/>
    <m/>
    <m/>
    <m/>
    <m/>
    <x v="0"/>
    <m/>
    <n v="14.364000000000001"/>
    <n v="28728"/>
    <n v="250"/>
    <n v="8"/>
    <n v="1"/>
    <n v="28728"/>
    <s v="Thomas Harrison Middle"/>
    <s v="Custodian"/>
    <m/>
    <n v="23000"/>
    <n v="33714"/>
    <n v="44428"/>
  </r>
  <r>
    <s v="Erb"/>
    <s v="Janelle"/>
    <n v="14779"/>
    <n v="43852"/>
    <m/>
    <m/>
    <m/>
    <m/>
    <x v="3"/>
    <m/>
    <n v="12.922857142857142"/>
    <n v="18092"/>
    <n v="200"/>
    <n v="7"/>
    <n v="1"/>
    <n v="18092"/>
    <s v="Bluestone Elementary"/>
    <s v="Teacher Assistant"/>
    <m/>
    <n v="17692"/>
    <n v="25107.5"/>
    <n v="32523"/>
  </r>
  <r>
    <s v="Escolero Rodriguez"/>
    <s v="Brenda"/>
    <n v="14774"/>
    <n v="43857"/>
    <m/>
    <m/>
    <m/>
    <m/>
    <x v="13"/>
    <m/>
    <n v="15.647142857142857"/>
    <n v="21906"/>
    <n v="200"/>
    <n v="7"/>
    <n v="1"/>
    <n v="21906"/>
    <s v="Bluestone Elementary"/>
    <s v="Secretary"/>
    <m/>
    <n v="24198"/>
    <n v="36297"/>
    <n v="48396"/>
  </r>
  <r>
    <s v="Eye"/>
    <s v="Donna"/>
    <n v="13609"/>
    <n v="42562"/>
    <m/>
    <m/>
    <m/>
    <m/>
    <x v="4"/>
    <m/>
    <n v="19.433"/>
    <n v="38866"/>
    <n v="250"/>
    <n v="8"/>
    <n v="1"/>
    <n v="38866"/>
    <s v="Keister Elementary"/>
    <s v="Custodian - Head"/>
    <m/>
    <n v="24500"/>
    <n v="35214"/>
    <n v="45928"/>
  </r>
  <r>
    <s v="Falcon"/>
    <s v="Alfonso"/>
    <n v="14854"/>
    <n v="43906"/>
    <m/>
    <m/>
    <m/>
    <m/>
    <x v="0"/>
    <m/>
    <n v="15.522500000000001"/>
    <n v="31045"/>
    <n v="250"/>
    <n v="8"/>
    <n v="1"/>
    <n v="31045"/>
    <s v="Thomas Harrison Middle"/>
    <s v="Custodian"/>
    <m/>
    <n v="23000"/>
    <n v="33714"/>
    <n v="44428"/>
  </r>
  <r>
    <s v="Falls"/>
    <s v="Linda"/>
    <n v="10614"/>
    <n v="36024"/>
    <m/>
    <m/>
    <m/>
    <m/>
    <x v="0"/>
    <m/>
    <n v="18.202000000000002"/>
    <n v="36404"/>
    <n v="250"/>
    <n v="8"/>
    <n v="1"/>
    <n v="36404"/>
    <s v="Thomas Harrison Middle"/>
    <s v="Custodian"/>
    <m/>
    <n v="23000"/>
    <n v="33714"/>
    <n v="44428"/>
  </r>
  <r>
    <s v="Falls"/>
    <s v="Sherry"/>
    <n v="14829"/>
    <n v="43885"/>
    <m/>
    <m/>
    <m/>
    <m/>
    <x v="2"/>
    <m/>
    <n v="14.91"/>
    <n v="14758"/>
    <n v="180"/>
    <n v="5.5"/>
    <n v="1"/>
    <n v="14758"/>
    <s v="Smithland Elementary"/>
    <s v="Nutrition Assistant"/>
    <m/>
    <n v="11652"/>
    <n v="14847.5"/>
    <n v="18043"/>
  </r>
  <r>
    <s v="Ferrer Jimenez"/>
    <s v="Belkys"/>
    <n v="13032"/>
    <n v="42025"/>
    <m/>
    <m/>
    <m/>
    <m/>
    <x v="0"/>
    <m/>
    <n v="12.975"/>
    <n v="25950"/>
    <n v="250"/>
    <n v="8"/>
    <n v="1"/>
    <n v="25950"/>
    <s v="Skyline Middle"/>
    <s v="Custodian"/>
    <m/>
    <n v="23000"/>
    <n v="33714"/>
    <n v="44428"/>
  </r>
  <r>
    <s v="Fix"/>
    <s v="Katherine"/>
    <n v="10399"/>
    <n v="39356"/>
    <m/>
    <m/>
    <m/>
    <m/>
    <x v="4"/>
    <m/>
    <n v="20.049499999999998"/>
    <n v="40099"/>
    <n v="250"/>
    <n v="8"/>
    <n v="1"/>
    <n v="40099"/>
    <s v="Smithland Elementary/Elon Rhodes"/>
    <s v="Custodian - Head"/>
    <m/>
    <n v="24500"/>
    <n v="35214"/>
    <n v="45928"/>
  </r>
  <r>
    <s v="Frederick"/>
    <s v="Jennifer"/>
    <n v="12194"/>
    <n v="40910"/>
    <m/>
    <m/>
    <m/>
    <m/>
    <x v="14"/>
    <m/>
    <n v="21.564266666666665"/>
    <n v="40433"/>
    <n v="250"/>
    <n v="7.5"/>
    <n v="1"/>
    <n v="40433"/>
    <s v="Central Office"/>
    <s v="Secretary - Student Support"/>
    <m/>
    <n v="32208"/>
    <n v="45091"/>
    <n v="57974"/>
  </r>
  <r>
    <s v="Friend"/>
    <s v="Lauren"/>
    <n v="13902"/>
    <n v="42928"/>
    <m/>
    <m/>
    <m/>
    <m/>
    <x v="18"/>
    <m/>
    <n v="22.742933333333333"/>
    <n v="42643"/>
    <n v="250"/>
    <n v="7.5"/>
    <n v="1"/>
    <n v="42643"/>
    <s v="Central Office"/>
    <s v="Secretary - Human Resources"/>
    <m/>
    <n v="29279"/>
    <n v="41723"/>
    <n v="54167"/>
  </r>
  <r>
    <s v="Garmendiz"/>
    <s v="Raquel"/>
    <n v="14545"/>
    <n v="43689"/>
    <m/>
    <m/>
    <m/>
    <m/>
    <x v="3"/>
    <m/>
    <n v="14.400714285714287"/>
    <n v="20161"/>
    <n v="200"/>
    <n v="7"/>
    <n v="1"/>
    <n v="20161"/>
    <s v="Keister Elementary"/>
    <s v="Teacher Assistant - SPED"/>
    <m/>
    <n v="17692"/>
    <n v="25107.5"/>
    <n v="32523"/>
  </r>
  <r>
    <s v="Gebremeskel"/>
    <s v="Mebrahatu"/>
    <n v="14159"/>
    <n v="43563"/>
    <m/>
    <m/>
    <m/>
    <m/>
    <x v="0"/>
    <m/>
    <n v="12.914"/>
    <n v="25828"/>
    <n v="250"/>
    <n v="8"/>
    <n v="1"/>
    <n v="25828"/>
    <s v="Harrisonburg High"/>
    <s v="Custodian"/>
    <m/>
    <n v="23000"/>
    <n v="33714"/>
    <n v="44428"/>
  </r>
  <r>
    <s v="Getz"/>
    <s v="Charles"/>
    <n v="13200"/>
    <n v="42186"/>
    <m/>
    <m/>
    <m/>
    <m/>
    <x v="15"/>
    <m/>
    <n v="28.775466666666667"/>
    <n v="53954"/>
    <n v="250"/>
    <n v="7.5"/>
    <n v="1"/>
    <n v="53954"/>
    <s v="Central Office"/>
    <s v="Community Network Specialist"/>
    <m/>
    <n v="42007"/>
    <n v="54516.5"/>
    <n v="67026"/>
  </r>
  <r>
    <s v="Gil"/>
    <s v="Maria"/>
    <n v="14842"/>
    <n v="43899"/>
    <m/>
    <m/>
    <m/>
    <m/>
    <x v="13"/>
    <m/>
    <n v="13.827272727272728"/>
    <n v="21294"/>
    <n v="220"/>
    <n v="7"/>
    <n v="1"/>
    <n v="21294"/>
    <s v="Smithland Elementary"/>
    <s v="Secretary"/>
    <m/>
    <n v="24198"/>
    <n v="36297"/>
    <n v="48396"/>
  </r>
  <r>
    <s v="Giron"/>
    <s v="Luz"/>
    <n v="10043"/>
    <n v="36528"/>
    <m/>
    <m/>
    <m/>
    <m/>
    <x v="0"/>
    <m/>
    <n v="16.990500000000001"/>
    <n v="33981"/>
    <n v="250"/>
    <n v="8"/>
    <n v="1"/>
    <n v="33981"/>
    <s v="Harrisonburg High"/>
    <s v="Custodian"/>
    <m/>
    <n v="23000"/>
    <n v="33714"/>
    <n v="44428"/>
  </r>
  <r>
    <s v="Good"/>
    <s v="Adam"/>
    <n v="11833"/>
    <n v="40429"/>
    <m/>
    <m/>
    <m/>
    <m/>
    <x v="3"/>
    <m/>
    <n v="14.002857142857142"/>
    <n v="19604"/>
    <n v="200"/>
    <n v="7"/>
    <n v="1"/>
    <n v="19604"/>
    <s v="Harrisonburg High"/>
    <s v="Teacher Assistant - Instruction"/>
    <m/>
    <n v="17692"/>
    <n v="25107.5"/>
    <n v="32523"/>
  </r>
  <r>
    <s v="Good"/>
    <s v="Shannon"/>
    <n v="10009"/>
    <n v="35348"/>
    <m/>
    <m/>
    <m/>
    <m/>
    <x v="19"/>
    <m/>
    <n v="25.766399999999997"/>
    <n v="48312"/>
    <n v="250"/>
    <n v="7.5"/>
    <n v="1"/>
    <n v="48312"/>
    <s v="Central Office"/>
    <s v="Secretary - Instruction"/>
    <m/>
    <n v="35429"/>
    <n v="48714.5"/>
    <n v="62000"/>
  </r>
  <r>
    <s v="Gooden"/>
    <s v="Carol"/>
    <n v="11474"/>
    <n v="39846"/>
    <m/>
    <m/>
    <m/>
    <m/>
    <x v="2"/>
    <m/>
    <n v="14.91"/>
    <n v="14758"/>
    <n v="180"/>
    <n v="5.5"/>
    <n v="1"/>
    <n v="14758"/>
    <s v="Bluestone Elementary"/>
    <s v="Nutrition Assistant"/>
    <m/>
    <n v="11652"/>
    <n v="14847.5"/>
    <n v="18043"/>
  </r>
  <r>
    <s v="Gordon"/>
    <s v="Valerie"/>
    <n v="12615"/>
    <n v="41509"/>
    <m/>
    <m/>
    <m/>
    <m/>
    <x v="3"/>
    <m/>
    <n v="17.64142857142857"/>
    <n v="24698"/>
    <n v="200"/>
    <n v="7"/>
    <n v="1"/>
    <n v="24698"/>
    <s v="Waterman Elementary"/>
    <s v="Teacher Assistant - Instruction"/>
    <m/>
    <n v="17692"/>
    <n v="25107.5"/>
    <n v="32523"/>
  </r>
  <r>
    <s v="Grabau"/>
    <s v="Aletheia"/>
    <n v="14558"/>
    <n v="43689"/>
    <m/>
    <m/>
    <m/>
    <m/>
    <x v="5"/>
    <m/>
    <n v="18.428571428571427"/>
    <n v="25800"/>
    <n v="200"/>
    <n v="7"/>
    <n v="1"/>
    <n v="25800"/>
    <s v="Bluestone Elementary"/>
    <s v="Technology I"/>
    <m/>
    <n v="22017"/>
    <n v="29451.5"/>
    <n v="36886"/>
  </r>
  <r>
    <s v="Granados"/>
    <s v="Erick"/>
    <n v="14923"/>
    <n v="44074"/>
    <m/>
    <m/>
    <m/>
    <m/>
    <x v="3"/>
    <m/>
    <n v="12.922857142857142"/>
    <n v="18092"/>
    <n v="200"/>
    <n v="7"/>
    <n v="1"/>
    <n v="18092"/>
    <s v="Skyline Middle"/>
    <s v="Teacher Assistant - ESL"/>
    <m/>
    <n v="17692"/>
    <n v="25107.5"/>
    <n v="32523"/>
  </r>
  <r>
    <s v="Gray"/>
    <s v="Judith"/>
    <n v="10522"/>
    <n v="36055"/>
    <m/>
    <m/>
    <m/>
    <m/>
    <x v="20"/>
    <m/>
    <n v="21.560533333333336"/>
    <n v="40426"/>
    <n v="250"/>
    <n v="7.5"/>
    <n v="1"/>
    <n v="40426"/>
    <s v="Stone Spring Elementary"/>
    <s v="Secretary - Bookkeeper"/>
    <m/>
    <n v="29279"/>
    <n v="41723"/>
    <n v="54167"/>
  </r>
  <r>
    <s v="Green"/>
    <s v="Amy"/>
    <n v="14082"/>
    <n v="43102"/>
    <m/>
    <m/>
    <m/>
    <m/>
    <x v="3"/>
    <m/>
    <n v="13.767857142857142"/>
    <n v="19275"/>
    <n v="200"/>
    <n v="7"/>
    <n v="1"/>
    <n v="19275"/>
    <s v="Bluestone Elementary"/>
    <s v="Teacher Assistant - Instruction"/>
    <m/>
    <n v="17692"/>
    <n v="25107.5"/>
    <n v="32523"/>
  </r>
  <r>
    <s v="Green"/>
    <s v="Heidi"/>
    <n v="12176"/>
    <n v="40868"/>
    <m/>
    <m/>
    <m/>
    <m/>
    <x v="21"/>
    <m/>
    <n v="17.149999999999999"/>
    <n v="21614"/>
    <n v="180"/>
    <n v="7"/>
    <n v="1"/>
    <n v="21614"/>
    <s v="Spotswood Elementary"/>
    <s v="Nutrition Manager"/>
    <m/>
    <n v="18939"/>
    <n v="24687.5"/>
    <n v="30436"/>
  </r>
  <r>
    <s v="Gull"/>
    <s v="Connie"/>
    <n v="14002"/>
    <n v="43103"/>
    <m/>
    <m/>
    <m/>
    <m/>
    <x v="3"/>
    <m/>
    <n v="13.500714285714285"/>
    <n v="18901"/>
    <n v="200"/>
    <n v="7"/>
    <n v="1"/>
    <n v="18901"/>
    <s v="Keister Elementary"/>
    <s v="Teacher Assistant - PreK"/>
    <m/>
    <n v="17692"/>
    <n v="25107.5"/>
    <n v="32523"/>
  </r>
  <r>
    <s v="Gullman"/>
    <s v="John"/>
    <n v="12853"/>
    <n v="41862"/>
    <m/>
    <m/>
    <m/>
    <m/>
    <x v="5"/>
    <m/>
    <n v="16.849285714285713"/>
    <n v="23589"/>
    <n v="200"/>
    <n v="7"/>
    <n v="1"/>
    <n v="23589"/>
    <s v="Stone Spring Elementary"/>
    <s v="Technology I"/>
    <m/>
    <n v="22017"/>
    <n v="29451.5"/>
    <n v="36886"/>
  </r>
  <r>
    <s v="Hall"/>
    <s v="Lora"/>
    <n v="14594"/>
    <n v="43682"/>
    <m/>
    <m/>
    <m/>
    <m/>
    <x v="0"/>
    <m/>
    <n v="14.073"/>
    <n v="28146"/>
    <n v="250"/>
    <n v="8"/>
    <n v="1"/>
    <n v="28146"/>
    <s v="Stone Spring Elementary"/>
    <s v="Custodian"/>
    <m/>
    <n v="23000"/>
    <n v="33714"/>
    <n v="44428"/>
  </r>
  <r>
    <s v="Harger"/>
    <s v="Zachary"/>
    <n v="14998"/>
    <n v="44272"/>
    <m/>
    <m/>
    <m/>
    <m/>
    <x v="5"/>
    <m/>
    <n v="16.083571428571428"/>
    <n v="22517"/>
    <n v="200"/>
    <n v="7"/>
    <n v="1"/>
    <n v="22517"/>
    <s v="Smithland Elementary"/>
    <s v="Technology I"/>
    <m/>
    <n v="22017"/>
    <n v="29451.5"/>
    <n v="36886"/>
  </r>
  <r>
    <s v="Harlow"/>
    <s v="Amy"/>
    <n v="10857"/>
    <n v="39379"/>
    <m/>
    <m/>
    <m/>
    <m/>
    <x v="3"/>
    <m/>
    <n v="13.015714285714285"/>
    <n v="18222"/>
    <n v="200"/>
    <n v="7"/>
    <n v="1"/>
    <n v="18222"/>
    <s v="Waterman Elementary"/>
    <s v="Teacher Assistant - SPED"/>
    <m/>
    <n v="17692"/>
    <n v="25107.5"/>
    <n v="32523"/>
  </r>
  <r>
    <s v="Harper"/>
    <s v="Kimberly"/>
    <n v="11062"/>
    <n v="36101"/>
    <m/>
    <m/>
    <m/>
    <m/>
    <x v="13"/>
    <m/>
    <n v="18.392207792207792"/>
    <n v="28324"/>
    <n v="220"/>
    <n v="7"/>
    <n v="1"/>
    <n v="28324"/>
    <s v="Smithland Elementary"/>
    <s v="Secretary"/>
    <m/>
    <n v="24198"/>
    <n v="36297"/>
    <n v="48396"/>
  </r>
  <r>
    <s v="Harper"/>
    <s v="Tammy"/>
    <n v="10502"/>
    <n v="37846"/>
    <m/>
    <m/>
    <m/>
    <m/>
    <x v="22"/>
    <m/>
    <n v="29.259183673469387"/>
    <n v="43011"/>
    <n v="210"/>
    <n v="7"/>
    <n v="1"/>
    <n v="43011"/>
    <s v="Thomas Harrison Middle"/>
    <s v="School Nurse - LPN"/>
    <m/>
    <n v="30655"/>
    <n v="36071.5"/>
    <n v="41488"/>
  </r>
  <r>
    <s v="Hasan"/>
    <s v="Twana"/>
    <n v="14320"/>
    <n v="43325"/>
    <m/>
    <m/>
    <m/>
    <m/>
    <x v="15"/>
    <m/>
    <n v="24.528000000000002"/>
    <n v="45990"/>
    <n v="250"/>
    <n v="7.5"/>
    <n v="1"/>
    <n v="45990"/>
    <s v="Harrisonburg High"/>
    <s v="Computer Resource Technician"/>
    <m/>
    <n v="42007"/>
    <n v="54516.5"/>
    <n v="67026"/>
  </r>
  <r>
    <s v="Henriquez Arriagada"/>
    <s v="Jacqueline"/>
    <n v="14987"/>
    <n v="44263"/>
    <m/>
    <m/>
    <m/>
    <m/>
    <x v="3"/>
    <m/>
    <n v="21.350714285714286"/>
    <n v="29891"/>
    <n v="200"/>
    <n v="7"/>
    <n v="1"/>
    <n v="29891"/>
    <s v="Smithland Elementary"/>
    <s v="Teacher Assistant - Instruction"/>
    <m/>
    <n v="17692"/>
    <n v="25107.5"/>
    <n v="32523"/>
  </r>
  <r>
    <s v="Hernandez Trias"/>
    <s v="Adriana"/>
    <n v="15057"/>
    <n v="44412"/>
    <m/>
    <m/>
    <m/>
    <m/>
    <x v="3"/>
    <m/>
    <n v="12.637142857142857"/>
    <n v="17692"/>
    <n v="200"/>
    <n v="7"/>
    <n v="1"/>
    <n v="17692"/>
    <s v="Keister Elementary"/>
    <s v="Teacher Assistant - Instruction"/>
    <m/>
    <n v="17692"/>
    <n v="25107.5"/>
    <n v="32523"/>
  </r>
  <r>
    <s v="Hertzler"/>
    <s v="Wilma"/>
    <n v="11802"/>
    <n v="40403"/>
    <m/>
    <m/>
    <m/>
    <m/>
    <x v="3"/>
    <m/>
    <n v="28.225714285714286"/>
    <n v="39516"/>
    <n v="200"/>
    <n v="7"/>
    <n v="1"/>
    <n v="39516"/>
    <s v="Skyline Middle"/>
    <s v="Teacher Assistant - Newcomers"/>
    <m/>
    <n v="17692"/>
    <n v="25107.5"/>
    <n v="32523"/>
  </r>
  <r>
    <s v="High"/>
    <s v="Malia"/>
    <n v="15124"/>
    <n v="44412"/>
    <m/>
    <m/>
    <m/>
    <m/>
    <x v="3"/>
    <m/>
    <n v="13.37857142857143"/>
    <n v="18730"/>
    <n v="200"/>
    <n v="7"/>
    <n v="1"/>
    <n v="18730"/>
    <s v="Spotswood Elementary"/>
    <s v="Teacher Assistant - Bilingual"/>
    <m/>
    <n v="17692"/>
    <n v="25107.5"/>
    <n v="32523"/>
  </r>
  <r>
    <s v="Hill"/>
    <s v="Anthony"/>
    <n v="12035"/>
    <n v="40756"/>
    <m/>
    <m/>
    <m/>
    <m/>
    <x v="1"/>
    <m/>
    <n v="36.67012987012987"/>
    <n v="56472"/>
    <n v="220"/>
    <n v="7"/>
    <n v="1"/>
    <n v="56472"/>
    <s v="Skyline Middle"/>
    <s v="Truancy and Attendance Specialist"/>
    <m/>
    <m/>
    <s v=" "/>
    <m/>
  </r>
  <r>
    <s v="Hill"/>
    <s v="Gwendolyn"/>
    <n v="11319"/>
    <n v="39675"/>
    <m/>
    <m/>
    <m/>
    <m/>
    <x v="3"/>
    <m/>
    <n v="21.350714285714286"/>
    <n v="29891"/>
    <n v="200"/>
    <n v="7"/>
    <n v="1"/>
    <n v="29891"/>
    <s v="Skyline Middle"/>
    <s v="Teacher Assistant - SPED"/>
    <m/>
    <n v="17692"/>
    <n v="25107.5"/>
    <n v="32523"/>
  </r>
  <r>
    <s v="Hill"/>
    <s v="Kimbra"/>
    <n v="11063"/>
    <n v="38215"/>
    <m/>
    <m/>
    <m/>
    <m/>
    <x v="23"/>
    <m/>
    <n v="24.322133333333333"/>
    <n v="45604"/>
    <n v="250"/>
    <n v="7.5"/>
    <n v="1"/>
    <n v="45604"/>
    <s v="Harrisonburg High"/>
    <s v="Secretary - Administrative/Receptionist"/>
    <m/>
    <n v="32208"/>
    <n v="45091"/>
    <n v="57974"/>
  </r>
  <r>
    <s v="Hinkle"/>
    <s v="Robert"/>
    <n v="12805"/>
    <n v="41830"/>
    <m/>
    <m/>
    <m/>
    <m/>
    <x v="4"/>
    <m/>
    <n v="16.990500000000001"/>
    <n v="33981"/>
    <n v="250"/>
    <n v="8"/>
    <n v="1"/>
    <n v="33981"/>
    <s v="Smithland Elementary/Elon Rhodes"/>
    <s v="Custodian - Head"/>
    <m/>
    <n v="24500"/>
    <n v="35214"/>
    <n v="45928"/>
  </r>
  <r>
    <s v="Holsinger"/>
    <s v="Elizabeth"/>
    <n v="11065"/>
    <n v="34933"/>
    <m/>
    <m/>
    <m/>
    <m/>
    <x v="3"/>
    <m/>
    <n v="18.528571428571428"/>
    <n v="25940"/>
    <n v="200"/>
    <n v="7"/>
    <n v="1"/>
    <n v="25940"/>
    <s v="Waterman Elementary"/>
    <s v="Teacher Assistant - Instruction"/>
    <m/>
    <n v="17692"/>
    <n v="25107.5"/>
    <n v="32523"/>
  </r>
  <r>
    <s v="Hopkins"/>
    <s v="Ellen"/>
    <n v="12870"/>
    <n v="41904"/>
    <m/>
    <m/>
    <m/>
    <m/>
    <x v="13"/>
    <m/>
    <n v="19.313939393939393"/>
    <n v="15934"/>
    <n v="220"/>
    <n v="3.75"/>
    <n v="0.5"/>
    <n v="31868"/>
    <s v="Harrisonburg High"/>
    <s v="Secretary"/>
    <m/>
    <n v="24198"/>
    <n v="36297"/>
    <n v="48396"/>
  </r>
  <r>
    <s v="Hottinger"/>
    <s v="Dwayne"/>
    <n v="10206"/>
    <n v="38169"/>
    <m/>
    <m/>
    <m/>
    <m/>
    <x v="1"/>
    <m/>
    <n v="50.928533333333334"/>
    <n v="95491"/>
    <n v="250"/>
    <n v="7.5"/>
    <n v="1"/>
    <n v="95491"/>
    <s v="School Division"/>
    <s v="Network Administrator"/>
    <m/>
    <s v=" "/>
    <s v=" "/>
    <s v=" "/>
  </r>
  <r>
    <s v="Howard"/>
    <s v="Mylinda"/>
    <n v="11594"/>
    <n v="40043"/>
    <m/>
    <m/>
    <m/>
    <m/>
    <x v="3"/>
    <m/>
    <n v="14.924999999999999"/>
    <n v="20895"/>
    <n v="200"/>
    <n v="7"/>
    <n v="1"/>
    <n v="20895"/>
    <s v="Skyline Middle"/>
    <s v="Teacher Assistant - SPED"/>
    <m/>
    <n v="17692"/>
    <n v="25107.5"/>
    <n v="32523"/>
  </r>
  <r>
    <s v="Huffman"/>
    <s v="Wayne"/>
    <n v="10499"/>
    <n v="29983"/>
    <m/>
    <m/>
    <m/>
    <m/>
    <x v="4"/>
    <m/>
    <n v="22.213750000000001"/>
    <n v="35542"/>
    <n v="250"/>
    <n v="6.4"/>
    <n v="0.8"/>
    <n v="44427.5"/>
    <s v="Stone Spring Elementary"/>
    <s v="Custodian - Head"/>
    <m/>
    <n v="24500"/>
    <n v="35214"/>
    <n v="45928"/>
  </r>
  <r>
    <s v="Hulvey"/>
    <s v="Esther"/>
    <n v="12379"/>
    <n v="41141"/>
    <m/>
    <m/>
    <m/>
    <m/>
    <x v="2"/>
    <m/>
    <n v="14.1"/>
    <n v="13957"/>
    <n v="180"/>
    <n v="5.5"/>
    <n v="1"/>
    <n v="13957"/>
    <s v="Thomas Harrison Middle"/>
    <s v="Nutrition Assistant"/>
    <m/>
    <n v="11652"/>
    <n v="14847.5"/>
    <n v="18043"/>
  </r>
  <r>
    <s v="Humaniuk"/>
    <s v="Olena"/>
    <n v="12985"/>
    <n v="41990"/>
    <m/>
    <m/>
    <m/>
    <m/>
    <x v="3"/>
    <m/>
    <n v="13.627142857142857"/>
    <n v="19078"/>
    <n v="200"/>
    <n v="7"/>
    <n v="1"/>
    <n v="19078"/>
    <s v="Stone Spring Elementary"/>
    <s v="Teacher Assistant - SPED"/>
    <m/>
    <n v="17692"/>
    <n v="25107.5"/>
    <n v="32523"/>
  </r>
  <r>
    <s v="Hunt"/>
    <s v="Vickie"/>
    <n v="11407"/>
    <n v="39748"/>
    <m/>
    <m/>
    <m/>
    <m/>
    <x v="2"/>
    <m/>
    <n v="14.91"/>
    <n v="14758"/>
    <n v="180"/>
    <n v="5.5"/>
    <n v="1"/>
    <n v="14758"/>
    <s v="Harrisonburg High"/>
    <s v="Nutrition Assistant"/>
    <m/>
    <n v="11652"/>
    <n v="14847.5"/>
    <n v="18043"/>
  </r>
  <r>
    <s v="Ibrahim"/>
    <s v="Amal"/>
    <n v="14627"/>
    <n v="43697"/>
    <m/>
    <m/>
    <m/>
    <m/>
    <x v="1"/>
    <m/>
    <n v="11"/>
    <n v="5940"/>
    <n v="180"/>
    <n v="3"/>
    <n v="1"/>
    <n v="5940"/>
    <s v="Keister Elementary"/>
    <s v="Nutrition Monitor"/>
    <m/>
    <m/>
    <m/>
    <m/>
  </r>
  <r>
    <s v="Ingram"/>
    <s v="Dania"/>
    <n v="14598"/>
    <n v="43689"/>
    <m/>
    <m/>
    <m/>
    <m/>
    <x v="3"/>
    <m/>
    <n v="16.805"/>
    <n v="23527"/>
    <n v="200"/>
    <n v="7"/>
    <n v="1"/>
    <n v="23527"/>
    <s v="Bluestone Elementary"/>
    <s v="Teacher Assistant"/>
    <m/>
    <n v="17692"/>
    <n v="25107.5"/>
    <n v="32523"/>
  </r>
  <r>
    <s v="Jacobsen"/>
    <s v="Martha"/>
    <n v="14972"/>
    <n v="44256"/>
    <m/>
    <m/>
    <m/>
    <m/>
    <x v="2"/>
    <m/>
    <n v="14.91"/>
    <n v="14758"/>
    <n v="180"/>
    <n v="5.5"/>
    <n v="1"/>
    <n v="14758"/>
    <s v="Skyline Middle"/>
    <s v="Nutrition Assistant"/>
    <m/>
    <n v="11652"/>
    <n v="14847.5"/>
    <n v="18043"/>
  </r>
  <r>
    <s v="Jenkins"/>
    <s v="Deanna"/>
    <n v="10611"/>
    <n v="38194"/>
    <m/>
    <m/>
    <m/>
    <m/>
    <x v="9"/>
    <m/>
    <n v="20.393066666666666"/>
    <n v="38237"/>
    <n v="250"/>
    <n v="7.5"/>
    <n v="1"/>
    <n v="38237"/>
    <s v="Thomas Harrison Middle"/>
    <s v="Secretary - Guidance"/>
    <m/>
    <n v="26618"/>
    <n v="38596.5"/>
    <n v="50575"/>
  </r>
  <r>
    <s v="Jerlinski"/>
    <s v="Elizabeth"/>
    <n v="10629"/>
    <n v="36032"/>
    <m/>
    <m/>
    <m/>
    <m/>
    <x v="13"/>
    <m/>
    <n v="19.316266666666667"/>
    <n v="36218"/>
    <n v="250"/>
    <n v="7.5"/>
    <n v="1"/>
    <n v="36218"/>
    <s v="Central Office"/>
    <s v="Secretary - Receptionist"/>
    <m/>
    <n v="24198"/>
    <n v="36297"/>
    <n v="48396"/>
  </r>
  <r>
    <s v="Johnson"/>
    <s v="Genetta"/>
    <n v="11066"/>
    <n v="37858"/>
    <m/>
    <m/>
    <m/>
    <m/>
    <x v="3"/>
    <m/>
    <n v="15.447142857142856"/>
    <n v="21626"/>
    <n v="200"/>
    <n v="7"/>
    <n v="1"/>
    <n v="21626"/>
    <s v="Harrisonburg High"/>
    <s v="Teacher Assistant - SPED"/>
    <m/>
    <n v="17692"/>
    <n v="25107.5"/>
    <n v="32523"/>
  </r>
  <r>
    <s v="Jordan"/>
    <s v="Akeem"/>
    <n v="13779"/>
    <n v="42830"/>
    <m/>
    <m/>
    <m/>
    <m/>
    <x v="3"/>
    <m/>
    <n v="13.135"/>
    <n v="18389"/>
    <n v="200"/>
    <n v="7"/>
    <n v="1"/>
    <n v="18389"/>
    <s v="Spotswood Elementary"/>
    <s v="Teacher Assistant"/>
    <m/>
    <n v="17692"/>
    <n v="25107.5"/>
    <n v="32523"/>
  </r>
  <r>
    <s v="Kakehjani"/>
    <s v="Ghafour"/>
    <n v="14711"/>
    <n v="43794"/>
    <m/>
    <m/>
    <m/>
    <m/>
    <x v="0"/>
    <m/>
    <n v="12.173999999999999"/>
    <n v="24348"/>
    <n v="250"/>
    <n v="8"/>
    <n v="1"/>
    <n v="24348"/>
    <s v="Bluestone Elementary"/>
    <s v="Custodian"/>
    <m/>
    <n v="23000"/>
    <n v="33714"/>
    <n v="44428"/>
  </r>
  <r>
    <s v="Kaylor"/>
    <s v="Valerie"/>
    <n v="10877"/>
    <n v="39010"/>
    <m/>
    <m/>
    <m/>
    <m/>
    <x v="3"/>
    <m/>
    <n v="14.14"/>
    <n v="19796"/>
    <n v="200"/>
    <n v="7"/>
    <n v="1"/>
    <n v="19796"/>
    <s v="Keister Elementary"/>
    <s v="Teacher Assistant - Instruction"/>
    <m/>
    <n v="17692"/>
    <n v="25107.5"/>
    <n v="32523"/>
  </r>
  <r>
    <s v="Kee"/>
    <s v="Tamara"/>
    <n v="10362"/>
    <n v="36759"/>
    <m/>
    <m/>
    <m/>
    <m/>
    <x v="2"/>
    <m/>
    <n v="21.72"/>
    <n v="21499"/>
    <n v="180"/>
    <n v="5.5"/>
    <n v="1"/>
    <n v="21499"/>
    <s v="Harrisonburg High"/>
    <s v="Nutrition Assistant"/>
    <m/>
    <n v="11652"/>
    <n v="14847.5"/>
    <n v="18043"/>
  </r>
  <r>
    <s v="Khamphavong"/>
    <s v="Deuane"/>
    <n v="10363"/>
    <n v="39314"/>
    <m/>
    <m/>
    <m/>
    <m/>
    <x v="2"/>
    <m/>
    <n v="14.5"/>
    <n v="14354"/>
    <n v="180"/>
    <n v="5.5"/>
    <n v="1"/>
    <n v="14354"/>
    <s v="Keister Elementary"/>
    <s v="Nutrition Assistant"/>
    <m/>
    <n v="11652"/>
    <n v="14847.5"/>
    <n v="18043"/>
  </r>
  <r>
    <s v="Khan"/>
    <s v="Shehnaz"/>
    <n v="10364"/>
    <n v="39314"/>
    <m/>
    <m/>
    <m/>
    <m/>
    <x v="1"/>
    <m/>
    <n v="18.71"/>
    <n v="13471.2"/>
    <n v="180"/>
    <n v="4"/>
    <n v="1"/>
    <n v="13471.2"/>
    <s v="Spotswood Elementary"/>
    <s v="Nutrition Assistant Part Time"/>
    <m/>
    <m/>
    <m/>
    <m/>
  </r>
  <r>
    <s v="Kibler"/>
    <s v="Pamela"/>
    <n v="14830"/>
    <n v="43899"/>
    <m/>
    <m/>
    <m/>
    <m/>
    <x v="2"/>
    <m/>
    <n v="13.33"/>
    <n v="13196"/>
    <n v="180"/>
    <n v="5.5"/>
    <n v="1"/>
    <n v="13196"/>
    <s v="Skyline Middle"/>
    <s v="Nutrition Assistant"/>
    <m/>
    <n v="11652"/>
    <n v="14847.5"/>
    <n v="18043"/>
  </r>
  <r>
    <s v="King"/>
    <s v="Sharon"/>
    <n v="10259"/>
    <n v="37851"/>
    <m/>
    <m/>
    <m/>
    <m/>
    <x v="3"/>
    <m/>
    <n v="15.968571428571428"/>
    <n v="22356"/>
    <n v="200"/>
    <n v="7"/>
    <n v="1"/>
    <n v="22356"/>
    <s v="Keister Elementary"/>
    <s v="Teacher Assistant - Instruction"/>
    <m/>
    <n v="17692"/>
    <n v="25107.5"/>
    <n v="32523"/>
  </r>
  <r>
    <s v="King"/>
    <s v="Susan"/>
    <n v="10415"/>
    <n v="36101"/>
    <m/>
    <m/>
    <m/>
    <m/>
    <x v="3"/>
    <m/>
    <n v="17.207857142857144"/>
    <n v="24091"/>
    <n v="200"/>
    <n v="7"/>
    <n v="1"/>
    <n v="24091"/>
    <s v="Waterman Elementary"/>
    <s v="Teacher Assistant - Instruction"/>
    <m/>
    <n v="17692"/>
    <n v="25107.5"/>
    <n v="32523"/>
  </r>
  <r>
    <s v="Kinsley"/>
    <s v="Leon"/>
    <n v="13787"/>
    <n v="42858"/>
    <m/>
    <m/>
    <m/>
    <m/>
    <x v="3"/>
    <m/>
    <n v="13.015714285714285"/>
    <n v="18222"/>
    <n v="200"/>
    <n v="7"/>
    <n v="1"/>
    <n v="18222"/>
    <s v="Harrisonburg High"/>
    <s v="Teacher Assistant - SPED"/>
    <m/>
    <n v="17692"/>
    <n v="25107.5"/>
    <n v="32523"/>
  </r>
  <r>
    <s v="Kirilyuk"/>
    <s v="Natalya"/>
    <n v="13663"/>
    <n v="42801"/>
    <m/>
    <m/>
    <m/>
    <m/>
    <x v="2"/>
    <m/>
    <n v="12.75"/>
    <n v="12624"/>
    <n v="180"/>
    <n v="5.5"/>
    <n v="1"/>
    <n v="12624"/>
    <s v="Harrisonburg High"/>
    <s v="Nutrition Assistant"/>
    <m/>
    <n v="11652"/>
    <n v="14847.5"/>
    <n v="18043"/>
  </r>
  <r>
    <s v="Kiser"/>
    <s v="Robin"/>
    <n v="10879"/>
    <n v="38653"/>
    <m/>
    <m/>
    <m/>
    <m/>
    <x v="3"/>
    <m/>
    <n v="14.663571428571428"/>
    <n v="20529"/>
    <n v="200"/>
    <n v="7"/>
    <n v="1"/>
    <n v="20529"/>
    <s v="Skyline Middle"/>
    <s v="Teacher Assistant - SPED"/>
    <m/>
    <n v="17692"/>
    <n v="25107.5"/>
    <n v="32523"/>
  </r>
  <r>
    <s v="Kite"/>
    <s v="Nolan"/>
    <n v="10328"/>
    <n v="35004"/>
    <m/>
    <m/>
    <m/>
    <m/>
    <x v="24"/>
    <m/>
    <n v="36.79"/>
    <n v="73580"/>
    <n v="250"/>
    <n v="8"/>
    <n v="1"/>
    <n v="73580"/>
    <s v="School Division"/>
    <s v="Maintenance"/>
    <m/>
    <n v="41910"/>
    <n v="51358.5"/>
    <n v="60807"/>
  </r>
  <r>
    <s v="Kite"/>
    <s v="Roy"/>
    <n v="10329"/>
    <n v="35765"/>
    <m/>
    <m/>
    <m/>
    <m/>
    <x v="1"/>
    <m/>
    <n v="48.631500000000003"/>
    <n v="97263"/>
    <n v="250"/>
    <n v="8"/>
    <n v="1"/>
    <n v="97263"/>
    <s v="School Division"/>
    <s v="Supervisor of Maintenance"/>
    <m/>
    <m/>
    <m/>
    <m/>
  </r>
  <r>
    <s v="Kite"/>
    <s v="Timothy"/>
    <n v="10330"/>
    <n v="38538"/>
    <m/>
    <m/>
    <m/>
    <m/>
    <x v="24"/>
    <m/>
    <n v="33.219499999999996"/>
    <n v="66439"/>
    <n v="250"/>
    <n v="8"/>
    <n v="1"/>
    <n v="66439"/>
    <s v="School Division"/>
    <s v="Maintenance"/>
    <m/>
    <n v="41910"/>
    <n v="51358.5"/>
    <n v="60807"/>
  </r>
  <r>
    <s v="Kittrell"/>
    <s v="Oksana"/>
    <n v="14921"/>
    <n v="44074"/>
    <m/>
    <m/>
    <m/>
    <m/>
    <x v="3"/>
    <m/>
    <n v="13.135"/>
    <n v="18389"/>
    <n v="200"/>
    <n v="7"/>
    <n v="1"/>
    <n v="18389"/>
    <s v="Keister Elementary"/>
    <s v="Teacher Assistant - VPI"/>
    <m/>
    <n v="17692"/>
    <n v="25107.5"/>
    <n v="32523"/>
  </r>
  <r>
    <s v="Klemt"/>
    <s v="Regina"/>
    <n v="12162"/>
    <n v="40849"/>
    <m/>
    <m/>
    <m/>
    <m/>
    <x v="20"/>
    <m/>
    <n v="31.268266666666666"/>
    <n v="58628"/>
    <n v="250"/>
    <n v="7.5"/>
    <n v="1"/>
    <n v="58628"/>
    <s v="Skyline Middle"/>
    <s v="Secretary - Bookkeeper"/>
    <m/>
    <n v="29279"/>
    <n v="41723"/>
    <n v="54167"/>
  </r>
  <r>
    <s v="Knupp"/>
    <s v="Angela"/>
    <n v="10619"/>
    <n v="34933"/>
    <m/>
    <m/>
    <m/>
    <m/>
    <x v="11"/>
    <m/>
    <n v="47.262585034013611"/>
    <n v="69476"/>
    <n v="210"/>
    <n v="7"/>
    <n v="1"/>
    <n v="69476"/>
    <s v="Harrisonburg High"/>
    <s v="School Nurse - RN"/>
    <m/>
    <n v="48500"/>
    <n v="56919"/>
    <n v="65338"/>
  </r>
  <r>
    <s v="Knupp"/>
    <s v="Derek"/>
    <n v="14572"/>
    <n v="43689"/>
    <m/>
    <m/>
    <m/>
    <m/>
    <x v="15"/>
    <m/>
    <n v="22.777066666666666"/>
    <n v="42707"/>
    <n v="250"/>
    <n v="7.5"/>
    <n v="1"/>
    <n v="42707"/>
    <s v="Thomas Harrison Middle"/>
    <s v="Computer Resource Technician"/>
    <m/>
    <n v="42007"/>
    <n v="54516.5"/>
    <n v="67026"/>
  </r>
  <r>
    <s v="Knupp"/>
    <s v="Janice"/>
    <n v="10215"/>
    <n v="32380"/>
    <m/>
    <m/>
    <m/>
    <m/>
    <x v="13"/>
    <m/>
    <n v="24.619199999999999"/>
    <n v="46161"/>
    <n v="250"/>
    <n v="7.5"/>
    <n v="1"/>
    <n v="46161"/>
    <s v="Central Office"/>
    <s v="Secretary"/>
    <m/>
    <n v="24198"/>
    <n v="36297"/>
    <n v="48396"/>
  </r>
  <r>
    <s v="Knupp"/>
    <s v="Lisa"/>
    <n v="10011"/>
    <n v="31303"/>
    <m/>
    <m/>
    <m/>
    <m/>
    <x v="25"/>
    <m/>
    <n v="32.965333333333334"/>
    <n v="61810"/>
    <n v="250"/>
    <n v="7.5"/>
    <n v="1"/>
    <n v="61810"/>
    <s v="Central Office"/>
    <s v="Secretary - Superintedent/Board Clerk"/>
    <m/>
    <n v="35429"/>
    <n v="48714.5"/>
    <n v="62000"/>
  </r>
  <r>
    <s v="Knupp Ii"/>
    <s v="Charles"/>
    <n v="14040"/>
    <n v="43052"/>
    <m/>
    <m/>
    <m/>
    <m/>
    <x v="0"/>
    <m/>
    <n v="18.817499999999999"/>
    <n v="37635"/>
    <n v="250"/>
    <n v="8"/>
    <n v="1"/>
    <n v="37635"/>
    <s v="Bluestone Elementary"/>
    <s v="Custodian"/>
    <m/>
    <n v="23000"/>
    <n v="33714"/>
    <n v="44428"/>
  </r>
  <r>
    <s v="Kori"/>
    <s v="Yousif"/>
    <n v="13887"/>
    <n v="42949"/>
    <m/>
    <m/>
    <m/>
    <m/>
    <x v="0"/>
    <m/>
    <n v="14.653"/>
    <n v="29306"/>
    <n v="250"/>
    <n v="8"/>
    <n v="1"/>
    <n v="29306"/>
    <s v="Smithland Elementary/Elon Rhodes"/>
    <s v="Custodian"/>
    <m/>
    <n v="23000"/>
    <n v="33714"/>
    <n v="44428"/>
  </r>
  <r>
    <s v="Lam"/>
    <s v="Amanda"/>
    <n v="14458"/>
    <n v="43629"/>
    <m/>
    <m/>
    <m/>
    <m/>
    <x v="3"/>
    <m/>
    <n v="12.78"/>
    <n v="17892"/>
    <n v="200"/>
    <n v="7"/>
    <n v="1"/>
    <n v="17892"/>
    <s v="Stone Spring Elementary"/>
    <s v="Teacher Assistant - SPED"/>
    <m/>
    <n v="17692"/>
    <n v="25107.5"/>
    <n v="32523"/>
  </r>
  <r>
    <s v="Lam"/>
    <s v="Bette"/>
    <n v="10503"/>
    <n v="38946"/>
    <m/>
    <m/>
    <m/>
    <m/>
    <x v="11"/>
    <m/>
    <n v="49.610884353741497"/>
    <n v="72928"/>
    <n v="210"/>
    <n v="7"/>
    <n v="1"/>
    <n v="72928"/>
    <s v="Stone Spring Elementary"/>
    <s v="School Nurse - RN"/>
    <m/>
    <n v="48500"/>
    <n v="56919"/>
    <n v="65338"/>
  </r>
  <r>
    <s v="Lam"/>
    <s v="Karen"/>
    <n v="10010"/>
    <n v="37461"/>
    <m/>
    <m/>
    <m/>
    <m/>
    <x v="18"/>
    <m/>
    <n v="22.742933333333333"/>
    <n v="42643"/>
    <n v="250"/>
    <n v="7.5"/>
    <n v="1"/>
    <n v="42643"/>
    <s v="Central Office"/>
    <s v="Secretary - Human Resources/Benefits"/>
    <m/>
    <n v="29279"/>
    <n v="41723"/>
    <n v="54167"/>
  </r>
  <r>
    <s v="Lamb"/>
    <s v="Kay"/>
    <n v="10367"/>
    <n v="39314"/>
    <m/>
    <m/>
    <m/>
    <m/>
    <x v="2"/>
    <m/>
    <n v="15.72"/>
    <n v="15558"/>
    <n v="180"/>
    <n v="5.5"/>
    <n v="1"/>
    <n v="15558"/>
    <s v="Waterman Elementary"/>
    <s v="Nutrition Assistant"/>
    <m/>
    <n v="11652"/>
    <n v="14847.5"/>
    <n v="18043"/>
  </r>
  <r>
    <s v="Lameiras"/>
    <s v="Gilda"/>
    <n v="13947"/>
    <n v="42968"/>
    <m/>
    <m/>
    <m/>
    <m/>
    <x v="3"/>
    <m/>
    <n v="20.879285714285714"/>
    <n v="29231"/>
    <n v="200"/>
    <n v="7"/>
    <n v="1"/>
    <n v="29231"/>
    <s v="Stone Spring Elementary"/>
    <s v="Teacher Assistant - SPED"/>
    <m/>
    <n v="17692"/>
    <n v="25107.5"/>
    <n v="32523"/>
  </r>
  <r>
    <s v="Lamphier"/>
    <s v="Marcia"/>
    <n v="10032"/>
    <n v="36342"/>
    <m/>
    <m/>
    <m/>
    <m/>
    <x v="26"/>
    <m/>
    <n v="26.761599999999998"/>
    <n v="50178"/>
    <n v="250"/>
    <n v="7.5"/>
    <n v="1"/>
    <n v="50178"/>
    <s v="Harrisonburg High"/>
    <s v="Registrar"/>
    <m/>
    <n v="24198"/>
    <n v="36297"/>
    <n v="48396"/>
  </r>
  <r>
    <s v="Lantz"/>
    <s v="Tyler"/>
    <n v="11269"/>
    <n v="39616"/>
    <m/>
    <m/>
    <m/>
    <m/>
    <x v="17"/>
    <m/>
    <n v="15.334"/>
    <n v="30668"/>
    <n v="250"/>
    <n v="8"/>
    <n v="1"/>
    <n v="30668"/>
    <s v="School Division"/>
    <s v="Maintenance"/>
    <m/>
    <n v="27037"/>
    <n v="39859"/>
    <n v="52681"/>
  </r>
  <r>
    <s v="Lathe"/>
    <s v="Miranda"/>
    <n v="14619"/>
    <n v="43697"/>
    <m/>
    <m/>
    <m/>
    <m/>
    <x v="2"/>
    <m/>
    <n v="12.75"/>
    <n v="12624"/>
    <n v="180"/>
    <n v="5.5"/>
    <n v="1"/>
    <n v="12624"/>
    <s v="Thomas Harrison Middle"/>
    <s v="Nutrition Assistant"/>
    <m/>
    <n v="11652"/>
    <n v="14847.5"/>
    <n v="18043"/>
  </r>
  <r>
    <s v="Lineweaver"/>
    <s v="Elizabeth"/>
    <n v="15027"/>
    <n v="44368"/>
    <m/>
    <m/>
    <m/>
    <m/>
    <x v="14"/>
    <m/>
    <n v="22.778133333333336"/>
    <n v="42709"/>
    <n v="250"/>
    <n v="7.5"/>
    <n v="1"/>
    <n v="42709"/>
    <s v="Central Office"/>
    <s v="Secretary - Technology"/>
    <m/>
    <n v="32208"/>
    <n v="45091"/>
    <n v="57974"/>
  </r>
  <r>
    <s v="Liss"/>
    <s v="Helen"/>
    <n v="12325"/>
    <n v="41113"/>
    <m/>
    <m/>
    <m/>
    <m/>
    <x v="16"/>
    <m/>
    <n v="25.327466666666666"/>
    <n v="47489"/>
    <n v="250"/>
    <n v="7.5"/>
    <n v="1"/>
    <n v="47489"/>
    <s v="Skyline Middle"/>
    <s v="Secretary - Administrative"/>
    <m/>
    <n v="29279"/>
    <n v="41723"/>
    <n v="54167"/>
  </r>
  <r>
    <s v="Lopez"/>
    <s v="Yaquelin"/>
    <n v="14585"/>
    <n v="43679"/>
    <m/>
    <m/>
    <m/>
    <m/>
    <x v="13"/>
    <m/>
    <n v="17.0032"/>
    <n v="31881"/>
    <n v="250"/>
    <n v="7.5"/>
    <n v="1"/>
    <n v="31881"/>
    <s v="Thomas Harrison Middle"/>
    <s v="Secretary"/>
    <m/>
    <n v="24198"/>
    <n v="36297"/>
    <n v="48396"/>
  </r>
  <r>
    <s v="Lopez Caracas"/>
    <s v="Ana"/>
    <n v="15013"/>
    <n v="44307"/>
    <m/>
    <m/>
    <m/>
    <m/>
    <x v="13"/>
    <m/>
    <n v="16.770779220779222"/>
    <n v="25827"/>
    <n v="220"/>
    <n v="7"/>
    <n v="1"/>
    <n v="25827"/>
    <s v="Harrisonburg High"/>
    <s v="Secretary - Receptionist"/>
    <m/>
    <n v="24198"/>
    <n v="36297"/>
    <n v="48396"/>
  </r>
  <r>
    <s v="Lovell"/>
    <s v="Kristen"/>
    <n v="13998"/>
    <n v="43017"/>
    <m/>
    <m/>
    <m/>
    <m/>
    <x v="27"/>
    <m/>
    <n v="23.224"/>
    <n v="43545"/>
    <n v="250"/>
    <n v="7.5"/>
    <n v="1"/>
    <n v="43545"/>
    <s v="Harrisonburg High"/>
    <s v="Secretary - Bookkeeper"/>
    <m/>
    <n v="32208"/>
    <n v="45091"/>
    <n v="57974"/>
  </r>
  <r>
    <s v="Lucas"/>
    <s v="Sandra"/>
    <n v="10370"/>
    <n v="38951"/>
    <m/>
    <m/>
    <m/>
    <m/>
    <x v="2"/>
    <m/>
    <n v="16.53"/>
    <n v="16362"/>
    <n v="180"/>
    <n v="5.5"/>
    <n v="1"/>
    <n v="16362"/>
    <s v="Spotswood Elementary"/>
    <s v="Nutrition Assistant"/>
    <m/>
    <n v="11652"/>
    <n v="14847.5"/>
    <n v="18043"/>
  </r>
  <r>
    <s v="Maclin"/>
    <s v="Jennifer"/>
    <n v="14719"/>
    <n v="43794"/>
    <m/>
    <m/>
    <m/>
    <m/>
    <x v="3"/>
    <m/>
    <n v="12.922857142857142"/>
    <n v="18092"/>
    <n v="200"/>
    <n v="7"/>
    <n v="1"/>
    <n v="18092"/>
    <s v="Harrisonburg High"/>
    <s v="Teacher Assistant - SPED"/>
    <m/>
    <n v="17692"/>
    <n v="25107.5"/>
    <n v="32523"/>
  </r>
  <r>
    <s v="Marafino"/>
    <s v="Cynthia"/>
    <n v="10417"/>
    <n v="39314"/>
    <m/>
    <m/>
    <m/>
    <m/>
    <x v="3"/>
    <m/>
    <n v="14.924999999999999"/>
    <n v="20895"/>
    <n v="200"/>
    <n v="7"/>
    <n v="1"/>
    <n v="20895"/>
    <s v="Elon Rhodes"/>
    <s v="Teacher Assistant - VPI"/>
    <m/>
    <n v="17692"/>
    <n v="25107.5"/>
    <n v="32523"/>
  </r>
  <r>
    <s v="Marcus"/>
    <s v="Chasity"/>
    <n v="10336"/>
    <n v="39129"/>
    <m/>
    <m/>
    <m/>
    <m/>
    <x v="21"/>
    <m/>
    <n v="16.68"/>
    <n v="21018"/>
    <n v="180"/>
    <n v="7"/>
    <n v="1"/>
    <n v="21018"/>
    <s v="Skyline Middle"/>
    <s v="Nutrition Assistant Manager"/>
    <m/>
    <n v="18939"/>
    <n v="24687.5"/>
    <n v="30436"/>
  </r>
  <r>
    <s v="Marshall"/>
    <s v="Laura"/>
    <n v="12053"/>
    <n v="40763"/>
    <m/>
    <m/>
    <m/>
    <m/>
    <x v="11"/>
    <m/>
    <n v="37.492517006802721"/>
    <n v="55114"/>
    <n v="210"/>
    <n v="7"/>
    <n v="1"/>
    <n v="55114"/>
    <s v="Skyline Middle"/>
    <s v="School Nurse - RN"/>
    <m/>
    <n v="48500"/>
    <n v="56919"/>
    <n v="65338"/>
  </r>
  <r>
    <s v="Martin"/>
    <s v="Jacqueline"/>
    <n v="10371"/>
    <n v="38223"/>
    <m/>
    <m/>
    <m/>
    <m/>
    <x v="2"/>
    <m/>
    <n v="15.31"/>
    <n v="15157"/>
    <n v="180"/>
    <n v="5.5"/>
    <n v="1"/>
    <n v="15157"/>
    <s v="Smithland Elementary"/>
    <s v="Nutrition Assistant"/>
    <m/>
    <n v="11652"/>
    <n v="14847.5"/>
    <n v="18043"/>
  </r>
  <r>
    <s v="Martinez"/>
    <s v="Amelia"/>
    <n v="14858"/>
    <n v="43920"/>
    <m/>
    <m/>
    <m/>
    <m/>
    <x v="16"/>
    <m/>
    <n v="22.766883116883118"/>
    <n v="35061"/>
    <n v="220"/>
    <n v="7"/>
    <n v="1"/>
    <n v="35061"/>
    <s v="Harrisonburg High"/>
    <s v="Secretary"/>
    <m/>
    <n v="29279"/>
    <n v="41723"/>
    <n v="54167"/>
  </r>
  <r>
    <s v="Martinez Toyllens"/>
    <s v="Barbara"/>
    <n v="14039"/>
    <n v="43052"/>
    <m/>
    <m/>
    <m/>
    <m/>
    <x v="0"/>
    <m/>
    <n v="12.76"/>
    <n v="25520"/>
    <n v="250"/>
    <n v="8"/>
    <n v="1"/>
    <n v="25520"/>
    <s v="Stone Spring Elementary"/>
    <s v="Custodian"/>
    <m/>
    <n v="23000"/>
    <n v="33714"/>
    <n v="44428"/>
  </r>
  <r>
    <s v="Mauzy"/>
    <s v="Candice"/>
    <n v="11556"/>
    <n v="40000"/>
    <m/>
    <m/>
    <m/>
    <m/>
    <x v="14"/>
    <m/>
    <n v="26.902933333333333"/>
    <n v="50443"/>
    <n v="250"/>
    <n v="7.5"/>
    <n v="1"/>
    <n v="50443"/>
    <s v="Central Office"/>
    <s v="Secretary - Sch Nutrition"/>
    <m/>
    <n v="32208"/>
    <n v="45091"/>
    <n v="57974"/>
  </r>
  <r>
    <s v="May"/>
    <s v="Peggy"/>
    <n v="10012"/>
    <n v="34151"/>
    <m/>
    <m/>
    <m/>
    <m/>
    <x v="14"/>
    <m/>
    <n v="25.217600000000001"/>
    <n v="47283"/>
    <n v="250"/>
    <n v="7.5"/>
    <n v="1"/>
    <n v="47283"/>
    <s v="Central Office"/>
    <s v="Secretary - Instruction"/>
    <m/>
    <n v="32208"/>
    <n v="45091"/>
    <n v="57974"/>
  </r>
  <r>
    <s v="Mazariegos"/>
    <s v="Ryo"/>
    <n v="14551"/>
    <n v="43661"/>
    <m/>
    <m/>
    <m/>
    <m/>
    <x v="3"/>
    <m/>
    <n v="12.967142857142857"/>
    <n v="18154"/>
    <n v="200"/>
    <n v="7"/>
    <n v="1"/>
    <n v="18154"/>
    <s v="Thomas Harrison Middle"/>
    <s v="Teacher Assistant - SPED"/>
    <m/>
    <n v="17692"/>
    <n v="25107.5"/>
    <n v="32523"/>
  </r>
  <r>
    <s v="Mccrary"/>
    <s v="Amie"/>
    <n v="12070"/>
    <n v="40760"/>
    <m/>
    <m/>
    <m/>
    <m/>
    <x v="2"/>
    <m/>
    <n v="13.33"/>
    <n v="13196"/>
    <n v="180"/>
    <n v="5.5"/>
    <n v="1"/>
    <n v="13196"/>
    <s v="Harrisonburg High"/>
    <s v="Nutrition Assistant"/>
    <m/>
    <n v="11652"/>
    <n v="14847.5"/>
    <n v="18043"/>
  </r>
  <r>
    <s v="Mccrary"/>
    <s v="Judy"/>
    <n v="10373"/>
    <n v="38413"/>
    <m/>
    <m/>
    <m/>
    <m/>
    <x v="2"/>
    <m/>
    <n v="15.31"/>
    <n v="15157"/>
    <n v="180"/>
    <n v="5.5"/>
    <n v="1"/>
    <n v="15157"/>
    <s v="Spotswood Elementary"/>
    <s v="Nutrition Assistant"/>
    <m/>
    <n v="11652"/>
    <n v="14847.5"/>
    <n v="18043"/>
  </r>
  <r>
    <s v="Mcdonald-Pyle"/>
    <s v="Barbara"/>
    <n v="10699"/>
    <n v="38448"/>
    <m/>
    <m/>
    <m/>
    <m/>
    <x v="3"/>
    <m/>
    <n v="15.707857142857142"/>
    <n v="21991"/>
    <n v="200"/>
    <n v="7"/>
    <n v="1"/>
    <n v="21991"/>
    <s v="Skyline Middle"/>
    <s v="Teacher Assistant - SPED"/>
    <m/>
    <n v="17692"/>
    <n v="25107.5"/>
    <n v="32523"/>
  </r>
  <r>
    <s v="Meadows"/>
    <s v="Audrey"/>
    <n v="10244"/>
    <n v="38516"/>
    <m/>
    <m/>
    <m/>
    <m/>
    <x v="20"/>
    <m/>
    <n v="23.90826666666667"/>
    <n v="44828"/>
    <n v="250"/>
    <n v="7.5"/>
    <n v="1"/>
    <n v="44828"/>
    <s v="Keister Elementary"/>
    <s v="Secretary - Bookkeeper"/>
    <m/>
    <n v="29279"/>
    <n v="41723"/>
    <n v="54167"/>
  </r>
  <r>
    <s v="Mercado"/>
    <s v="Gwendolin"/>
    <n v="14597"/>
    <n v="43689"/>
    <m/>
    <m/>
    <m/>
    <m/>
    <x v="3"/>
    <m/>
    <n v="13.135"/>
    <n v="18389"/>
    <n v="200"/>
    <n v="7"/>
    <n v="1"/>
    <n v="18389"/>
    <s v="Spotswood Elementary"/>
    <s v="Teacher Assistant - Bilingual"/>
    <m/>
    <n v="17692"/>
    <n v="25107.5"/>
    <n v="32523"/>
  </r>
  <r>
    <s v="Mikhaylyuk"/>
    <s v="Yelena"/>
    <n v="12493"/>
    <n v="41282"/>
    <m/>
    <m/>
    <m/>
    <m/>
    <x v="2"/>
    <m/>
    <n v="13.33"/>
    <n v="13196"/>
    <n v="180"/>
    <n v="5.5"/>
    <n v="1"/>
    <n v="13196"/>
    <s v="Harrisonburg High"/>
    <s v="Nutrition Assistant"/>
    <m/>
    <n v="11652"/>
    <n v="14847.5"/>
    <n v="18043"/>
  </r>
  <r>
    <s v="Miller"/>
    <s v="Carl"/>
    <n v="10047"/>
    <n v="35324"/>
    <m/>
    <m/>
    <m/>
    <m/>
    <x v="0"/>
    <m/>
    <n v="21.44"/>
    <n v="42880"/>
    <n v="250"/>
    <n v="8"/>
    <n v="1"/>
    <n v="42880"/>
    <s v="Harrisonburg High"/>
    <s v="Custodian"/>
    <m/>
    <n v="23000"/>
    <n v="33714"/>
    <n v="44428"/>
  </r>
  <r>
    <s v="Miller"/>
    <s v="Wendy"/>
    <n v="13938"/>
    <n v="42964"/>
    <m/>
    <m/>
    <m/>
    <m/>
    <x v="11"/>
    <m/>
    <n v="35.343537414965986"/>
    <n v="51955"/>
    <n v="210"/>
    <n v="7"/>
    <n v="1"/>
    <n v="51955"/>
    <s v="Harrisonburg High"/>
    <s v="School Nurse - RN"/>
    <m/>
    <n v="48500"/>
    <n v="56919"/>
    <n v="65338"/>
  </r>
  <r>
    <s v="Morris"/>
    <s v="Anthony"/>
    <n v="10332"/>
    <n v="38761"/>
    <m/>
    <m/>
    <m/>
    <m/>
    <x v="4"/>
    <m/>
    <n v="26.8645"/>
    <n v="53729"/>
    <n v="250"/>
    <n v="8"/>
    <n v="1"/>
    <n v="53729"/>
    <s v="Waterman Elementary"/>
    <s v="Custodian - Head"/>
    <m/>
    <n v="24500"/>
    <n v="35214"/>
    <n v="45928"/>
  </r>
  <r>
    <s v="Morris"/>
    <s v="Margaret"/>
    <n v="12133"/>
    <n v="40826"/>
    <m/>
    <m/>
    <m/>
    <m/>
    <x v="9"/>
    <m/>
    <n v="21.098666666666666"/>
    <n v="39560"/>
    <n v="250"/>
    <n v="7.5"/>
    <n v="1"/>
    <n v="39560"/>
    <s v="Harrisonburg High"/>
    <s v="Secretary - Guidance"/>
    <m/>
    <n v="26618"/>
    <n v="38596.5"/>
    <n v="50575"/>
  </r>
  <r>
    <s v="Morrison"/>
    <s v="Patricia"/>
    <n v="10376"/>
    <n v="32875"/>
    <m/>
    <m/>
    <m/>
    <m/>
    <x v="2"/>
    <m/>
    <n v="21.72"/>
    <n v="21499"/>
    <n v="180"/>
    <n v="5.5"/>
    <n v="1"/>
    <n v="21499"/>
    <s v="Waterman Elementary"/>
    <s v="Nutrition Assistant"/>
    <m/>
    <n v="11652"/>
    <n v="14847.5"/>
    <n v="18043"/>
  </r>
  <r>
    <s v="Muncy"/>
    <s v="Kristin"/>
    <n v="14347"/>
    <n v="43375"/>
    <m/>
    <m/>
    <m/>
    <m/>
    <x v="3"/>
    <m/>
    <n v="18.999285714285715"/>
    <n v="26599"/>
    <n v="200"/>
    <n v="7"/>
    <n v="1"/>
    <n v="26599"/>
    <s v="Bluestone Elementary"/>
    <s v="Teacher Assistant - SPED"/>
    <m/>
    <n v="17692"/>
    <n v="25107.5"/>
    <n v="32523"/>
  </r>
  <r>
    <s v="Muniz"/>
    <s v="Lizet"/>
    <n v="14606"/>
    <n v="43689"/>
    <m/>
    <m/>
    <m/>
    <m/>
    <x v="13"/>
    <m/>
    <n v="15.712987012987012"/>
    <n v="24198"/>
    <n v="220"/>
    <n v="7"/>
    <n v="1"/>
    <n v="24198"/>
    <s v="Spotswood Elementary"/>
    <s v="Secretary"/>
    <m/>
    <n v="24198"/>
    <n v="36297"/>
    <n v="48396"/>
  </r>
  <r>
    <s v="Musser"/>
    <s v="Eric"/>
    <n v="14687"/>
    <n v="43752"/>
    <m/>
    <m/>
    <m/>
    <m/>
    <x v="0"/>
    <m/>
    <n v="12.173999999999999"/>
    <n v="24348"/>
    <n v="250"/>
    <n v="8"/>
    <n v="1"/>
    <n v="24348"/>
    <s v="Keister Elementary"/>
    <s v="Custodian"/>
    <m/>
    <n v="23000"/>
    <n v="33714"/>
    <n v="44428"/>
  </r>
  <r>
    <s v="Najeeb"/>
    <s v="Bahra"/>
    <n v="14984"/>
    <n v="44256"/>
    <m/>
    <m/>
    <m/>
    <m/>
    <x v="2"/>
    <m/>
    <n v="12.52"/>
    <n v="12393"/>
    <n v="180"/>
    <n v="5.5"/>
    <n v="1"/>
    <n v="12393"/>
    <s v="Skyline Middle"/>
    <s v="Nutrition Assistant"/>
    <m/>
    <n v="11652"/>
    <n v="14847.5"/>
    <n v="18043"/>
  </r>
  <r>
    <s v="Najib"/>
    <s v="Tarza"/>
    <n v="15068"/>
    <n v="44343"/>
    <m/>
    <m/>
    <m/>
    <m/>
    <x v="2"/>
    <m/>
    <n v="12.52"/>
    <n v="12393"/>
    <n v="180"/>
    <n v="5.5"/>
    <n v="0.5"/>
    <n v="24786"/>
    <s v="Harrisonburg High"/>
    <s v="Nutrition Assistant"/>
    <m/>
    <n v="11652"/>
    <n v="14847.5"/>
    <n v="18043"/>
  </r>
  <r>
    <s v="Nicol"/>
    <s v="Ofelia"/>
    <n v="10066"/>
    <n v="37963"/>
    <m/>
    <m/>
    <m/>
    <m/>
    <x v="3"/>
    <m/>
    <n v="21.350714285714286"/>
    <n v="29891"/>
    <n v="200"/>
    <n v="7"/>
    <n v="1"/>
    <n v="29891"/>
    <s v="Harrisonburg High"/>
    <s v="Teacher Assistant"/>
    <m/>
    <n v="17692"/>
    <n v="25107.5"/>
    <n v="32523"/>
  </r>
  <r>
    <s v="Nipe"/>
    <s v="Mary Lou"/>
    <n v="13593"/>
    <n v="42644"/>
    <m/>
    <m/>
    <m/>
    <m/>
    <x v="28"/>
    <m/>
    <n v="19.718"/>
    <n v="19718"/>
    <n v="250"/>
    <n v="4"/>
    <n v="0.5"/>
    <n v="39436"/>
    <s v="Central Office"/>
    <s v="Licensure Specialist"/>
    <m/>
    <n v="29279"/>
    <n v="41723"/>
    <n v="54167"/>
  </r>
  <r>
    <s v="Nuevo-Luna"/>
    <s v="Cristina"/>
    <n v="12337"/>
    <n v="41114"/>
    <m/>
    <m/>
    <m/>
    <m/>
    <x v="13"/>
    <m/>
    <n v="17.684285714285714"/>
    <n v="24758"/>
    <n v="200"/>
    <n v="7"/>
    <n v="1"/>
    <n v="24758"/>
    <s v="Waterman Elementary"/>
    <s v="Secretary"/>
    <m/>
    <n v="24198"/>
    <n v="36297"/>
    <n v="48396"/>
  </r>
  <r>
    <s v="Paulette Payne"/>
    <s v="Roberta"/>
    <n v="11070"/>
    <n v="38582"/>
    <m/>
    <m/>
    <m/>
    <m/>
    <x v="3"/>
    <m/>
    <n v="14.924999999999999"/>
    <n v="20895"/>
    <n v="200"/>
    <n v="7"/>
    <n v="1"/>
    <n v="20895"/>
    <s v="Waterman Elementary"/>
    <s v="Teacher Assistant - SPED"/>
    <m/>
    <n v="17692"/>
    <n v="25107.5"/>
    <n v="32523"/>
  </r>
  <r>
    <s v="Pellecer"/>
    <s v="Hildalejandra"/>
    <n v="12197"/>
    <n v="40922"/>
    <m/>
    <m/>
    <m/>
    <m/>
    <x v="3"/>
    <m/>
    <n v="13.257142857142856"/>
    <n v="18560"/>
    <n v="200"/>
    <n v="7"/>
    <n v="1"/>
    <n v="18560"/>
    <s v="Spotswood Elementary"/>
    <s v="Teacher Assistant - Instruction"/>
    <m/>
    <n v="17692"/>
    <n v="25107.5"/>
    <n v="32523"/>
  </r>
  <r>
    <s v="Pence"/>
    <s v="Amber"/>
    <n v="14331"/>
    <n v="43619"/>
    <m/>
    <m/>
    <m/>
    <m/>
    <x v="14"/>
    <m/>
    <n v="25.0032"/>
    <n v="46881"/>
    <n v="250"/>
    <n v="7.5"/>
    <n v="1"/>
    <n v="46881"/>
    <s v="Central Office"/>
    <s v="Secretary - SPED"/>
    <m/>
    <n v="32208"/>
    <n v="45091"/>
    <n v="57974"/>
  </r>
  <r>
    <s v="Phillips"/>
    <s v="Anna"/>
    <n v="14302"/>
    <n v="43290"/>
    <m/>
    <m/>
    <m/>
    <m/>
    <x v="20"/>
    <m/>
    <n v="25.6"/>
    <n v="48000"/>
    <n v="250"/>
    <n v="7.5"/>
    <n v="1"/>
    <n v="48000"/>
    <s v="Thomas Harrison Middle"/>
    <s v="Secretary - Bookkeeper"/>
    <m/>
    <n v="29279"/>
    <n v="41723"/>
    <n v="54167"/>
  </r>
  <r>
    <s v="Phillips"/>
    <s v="Dawn"/>
    <n v="14441"/>
    <n v="43451"/>
    <m/>
    <m/>
    <m/>
    <m/>
    <x v="3"/>
    <m/>
    <n v="14.400714285714287"/>
    <n v="20161"/>
    <n v="200"/>
    <n v="7"/>
    <n v="1"/>
    <n v="20161"/>
    <s v="Keister Elementary"/>
    <s v="Teacher Assistant - VPI"/>
    <m/>
    <n v="17692"/>
    <n v="25107.5"/>
    <n v="32523"/>
  </r>
  <r>
    <s v="Pidroutchniak"/>
    <s v="Elena"/>
    <n v="13922"/>
    <n v="42975"/>
    <m/>
    <m/>
    <m/>
    <m/>
    <x v="2"/>
    <m/>
    <n v="13.69"/>
    <n v="13557"/>
    <n v="180"/>
    <n v="5.5"/>
    <n v="1"/>
    <n v="13557"/>
    <s v="Bluestone Elementary"/>
    <s v="Nutrition Assistant"/>
    <m/>
    <n v="11652"/>
    <n v="14847.5"/>
    <n v="18043"/>
  </r>
  <r>
    <s v="Playfair"/>
    <s v="Summer"/>
    <n v="14974"/>
    <n v="44256"/>
    <m/>
    <m/>
    <m/>
    <m/>
    <x v="3"/>
    <m/>
    <n v="12.637142857142857"/>
    <n v="17692"/>
    <n v="200"/>
    <n v="7"/>
    <n v="1"/>
    <n v="17692"/>
    <s v="Smithland Elementary"/>
    <s v="Teacher Assistant - Instruction"/>
    <m/>
    <n v="17692"/>
    <n v="25107.5"/>
    <n v="32523"/>
  </r>
  <r>
    <s v="Poirot"/>
    <s v="Carolyn"/>
    <n v="12997"/>
    <n v="42024"/>
    <m/>
    <m/>
    <m/>
    <m/>
    <x v="3"/>
    <m/>
    <n v="13.37857142857143"/>
    <n v="18730"/>
    <n v="200"/>
    <n v="7"/>
    <n v="1"/>
    <n v="18730"/>
    <s v="Keister Elementary"/>
    <s v="Teacher Assistant - SPED"/>
    <m/>
    <n v="17692"/>
    <n v="25107.5"/>
    <n v="32523"/>
  </r>
  <r>
    <s v="Puffenbarger"/>
    <s v="Karen"/>
    <n v="10379"/>
    <n v="36185"/>
    <m/>
    <m/>
    <m/>
    <m/>
    <x v="2"/>
    <m/>
    <n v="17.739999999999998"/>
    <n v="17562"/>
    <n v="180"/>
    <n v="5.5"/>
    <n v="1"/>
    <n v="17562"/>
    <s v="Keister Elementary"/>
    <s v="Nutrition Assistant"/>
    <m/>
    <n v="11652"/>
    <n v="14847.5"/>
    <n v="18043"/>
  </r>
  <r>
    <s v="Puffenbarger"/>
    <s v="Tina"/>
    <n v="11053"/>
    <n v="30585"/>
    <m/>
    <m/>
    <m/>
    <m/>
    <x v="20"/>
    <m/>
    <n v="24.619199999999999"/>
    <n v="46161"/>
    <n v="250"/>
    <n v="7.5"/>
    <n v="1"/>
    <n v="46161"/>
    <s v="Waterman Elementary"/>
    <s v="Secretary"/>
    <m/>
    <n v="29279"/>
    <n v="41723"/>
    <n v="54167"/>
  </r>
  <r>
    <s v="Pulido"/>
    <s v="Martha"/>
    <n v="10531"/>
    <n v="38588"/>
    <m/>
    <m/>
    <m/>
    <m/>
    <x v="29"/>
    <m/>
    <n v="23.212800000000001"/>
    <n v="43524"/>
    <n v="250"/>
    <n v="7.5"/>
    <n v="1"/>
    <n v="43524"/>
    <s v="Central Office"/>
    <s v="Translation Support Specialist"/>
    <m/>
    <n v="24198"/>
    <n v="36297"/>
    <n v="48396"/>
  </r>
  <r>
    <s v="Pultz"/>
    <s v="Laura"/>
    <n v="13206"/>
    <n v="42691"/>
    <m/>
    <m/>
    <m/>
    <m/>
    <x v="20"/>
    <m/>
    <n v="23.90826666666667"/>
    <n v="44828"/>
    <n v="250"/>
    <n v="7.5"/>
    <n v="1"/>
    <n v="44828"/>
    <s v="Spotswood Elementary"/>
    <s v="Secretary - Bookkeeper"/>
    <m/>
    <n v="29279"/>
    <n v="41723"/>
    <n v="54167"/>
  </r>
  <r>
    <s v="Qadir"/>
    <s v="Saeran"/>
    <n v="14020"/>
    <n v="43031"/>
    <m/>
    <m/>
    <m/>
    <m/>
    <x v="2"/>
    <m/>
    <n v="13.21"/>
    <n v="13080"/>
    <n v="180"/>
    <n v="5.5"/>
    <n v="1"/>
    <n v="13080"/>
    <s v="Thomas Harrison Middle"/>
    <s v="Nutrition Assistant"/>
    <m/>
    <n v="11652"/>
    <n v="14847.5"/>
    <n v="18043"/>
  </r>
  <r>
    <s v="Reedy"/>
    <s v="Linda"/>
    <n v="13973"/>
    <n v="42983"/>
    <m/>
    <m/>
    <m/>
    <m/>
    <x v="0"/>
    <m/>
    <n v="22.213999999999999"/>
    <n v="44428"/>
    <n v="250"/>
    <n v="8"/>
    <n v="1"/>
    <n v="44428"/>
    <s v="Bluestone Elementary"/>
    <s v="Custodian"/>
    <m/>
    <n v="23000"/>
    <n v="33714"/>
    <n v="44428"/>
  </r>
  <r>
    <s v="Ressin"/>
    <s v="Krista"/>
    <n v="10380"/>
    <n v="37130"/>
    <m/>
    <m/>
    <m/>
    <m/>
    <x v="6"/>
    <m/>
    <n v="24.01"/>
    <n v="34574"/>
    <n v="180"/>
    <n v="8"/>
    <n v="1"/>
    <n v="34574"/>
    <s v="Skyline Middle"/>
    <s v="Nutrition Manager"/>
    <m/>
    <n v="26502"/>
    <n v="34084"/>
    <n v="41666"/>
  </r>
  <r>
    <s v="Rexha"/>
    <s v="Sabahate"/>
    <n v="12877"/>
    <n v="41857"/>
    <m/>
    <m/>
    <m/>
    <m/>
    <x v="2"/>
    <m/>
    <n v="14.91"/>
    <n v="14758"/>
    <n v="180"/>
    <n v="5.5"/>
    <n v="1"/>
    <n v="14758"/>
    <s v="Smithland Elementary"/>
    <s v="Nutrition Assistant"/>
    <m/>
    <n v="11652"/>
    <n v="14847.5"/>
    <n v="18043"/>
  </r>
  <r>
    <s v="Rexrode"/>
    <s v="Brenda"/>
    <n v="13257"/>
    <n v="42241"/>
    <m/>
    <m/>
    <m/>
    <m/>
    <x v="2"/>
    <m/>
    <n v="12.98"/>
    <n v="12851"/>
    <n v="180"/>
    <n v="5.5"/>
    <n v="1"/>
    <n v="12851"/>
    <s v="Harrisonburg High"/>
    <s v="Nutrition Assistant"/>
    <m/>
    <n v="11652"/>
    <n v="14847.5"/>
    <n v="18043"/>
  </r>
  <r>
    <s v="Rich"/>
    <s v="Elizabeth"/>
    <n v="13855"/>
    <n v="42968"/>
    <m/>
    <m/>
    <m/>
    <m/>
    <x v="3"/>
    <m/>
    <n v="13.135"/>
    <n v="18389"/>
    <n v="200"/>
    <n v="7"/>
    <n v="1"/>
    <n v="18389"/>
    <s v="Stone Spring Elementary"/>
    <s v="Teacher Assistant - SPED"/>
    <m/>
    <n v="17692"/>
    <n v="25107.5"/>
    <n v="32523"/>
  </r>
  <r>
    <s v="Ritchie"/>
    <s v="Kristen"/>
    <n v="13834"/>
    <n v="42887"/>
    <m/>
    <m/>
    <m/>
    <m/>
    <x v="11"/>
    <m/>
    <n v="36.06666666666667"/>
    <n v="53018"/>
    <n v="210"/>
    <n v="7"/>
    <n v="1"/>
    <n v="53018"/>
    <s v="Keister Elementary"/>
    <s v="School Nurse - RN"/>
    <m/>
    <n v="48500"/>
    <n v="56919"/>
    <n v="65338"/>
  </r>
  <r>
    <s v="Robles"/>
    <s v="Jennifer"/>
    <n v="12951"/>
    <n v="41911"/>
    <m/>
    <m/>
    <m/>
    <m/>
    <x v="2"/>
    <m/>
    <n v="12.52"/>
    <n v="12393"/>
    <n v="180"/>
    <n v="5.5"/>
    <n v="1"/>
    <n v="12393"/>
    <s v="Keister Elementary"/>
    <s v="Nutrition Assistant"/>
    <m/>
    <n v="11652"/>
    <n v="14847.5"/>
    <n v="18043"/>
  </r>
  <r>
    <s v="Rodriguez Santana"/>
    <s v="Juan"/>
    <n v="15081"/>
    <n v="44378"/>
    <m/>
    <m/>
    <m/>
    <m/>
    <x v="0"/>
    <m/>
    <n v="13.204000000000001"/>
    <n v="26408"/>
    <n v="250"/>
    <n v="8"/>
    <n v="1"/>
    <n v="26408"/>
    <s v="Smithland Elementary"/>
    <s v="Custodian"/>
    <m/>
    <n v="23000"/>
    <n v="33714"/>
    <n v="44428"/>
  </r>
  <r>
    <s v="Rosson"/>
    <s v="Amber"/>
    <n v="14744"/>
    <n v="43810"/>
    <m/>
    <m/>
    <m/>
    <m/>
    <x v="3"/>
    <m/>
    <n v="12.922857142857142"/>
    <n v="18092"/>
    <n v="200"/>
    <n v="7"/>
    <n v="1"/>
    <n v="18092"/>
    <s v="Elon Rhodes"/>
    <s v="Teacher Assistant - VPI"/>
    <m/>
    <n v="17692"/>
    <n v="25107.5"/>
    <n v="32523"/>
  </r>
  <r>
    <s v="Saeed"/>
    <s v="Nigar"/>
    <n v="14474"/>
    <n v="43689"/>
    <m/>
    <m/>
    <m/>
    <m/>
    <x v="3"/>
    <m/>
    <n v="14.924999999999999"/>
    <n v="20895"/>
    <n v="200"/>
    <n v="7"/>
    <n v="1"/>
    <n v="20895"/>
    <s v="Keister Elementary"/>
    <s v="Teacher Assistant - SPED"/>
    <m/>
    <n v="17692"/>
    <n v="25107.5"/>
    <n v="32523"/>
  </r>
  <r>
    <s v="Sager"/>
    <s v="Kieu"/>
    <n v="12635"/>
    <n v="41540"/>
    <m/>
    <m/>
    <m/>
    <m/>
    <x v="2"/>
    <m/>
    <n v="13.09"/>
    <n v="12964"/>
    <n v="180"/>
    <n v="5.5"/>
    <n v="1"/>
    <n v="12964"/>
    <s v="Keister Elementary"/>
    <s v="Nutrition Assistant"/>
    <m/>
    <n v="11652"/>
    <n v="14847.5"/>
    <n v="18043"/>
  </r>
  <r>
    <s v="Salva Bermudez"/>
    <s v="Marilyn"/>
    <n v="10342"/>
    <n v="38006"/>
    <m/>
    <m/>
    <m/>
    <m/>
    <x v="2"/>
    <m/>
    <n v="15.72"/>
    <n v="15558"/>
    <n v="180"/>
    <n v="5.5"/>
    <n v="1"/>
    <n v="15558"/>
    <s v="Spotswood Elementary"/>
    <s v="Nutrition Assistant"/>
    <m/>
    <n v="11652"/>
    <n v="14847.5"/>
    <n v="18043"/>
  </r>
  <r>
    <s v="Sanchez"/>
    <s v="Veronica"/>
    <n v="14298"/>
    <n v="43333"/>
    <m/>
    <m/>
    <m/>
    <m/>
    <x v="2"/>
    <m/>
    <n v="12.52"/>
    <n v="12393"/>
    <n v="180"/>
    <n v="5.5"/>
    <n v="1"/>
    <n v="12393"/>
    <s v="Thomas Harrison Middle"/>
    <s v="Nutrition Assistant"/>
    <m/>
    <n v="11652"/>
    <n v="14847.5"/>
    <n v="18043"/>
  </r>
  <r>
    <s v="Saum"/>
    <s v="Ellen"/>
    <n v="10355"/>
    <n v="39314"/>
    <m/>
    <m/>
    <m/>
    <m/>
    <x v="2"/>
    <m/>
    <n v="13.69"/>
    <n v="13557"/>
    <n v="180"/>
    <n v="5.5"/>
    <n v="1"/>
    <n v="13557"/>
    <s v="Harrisonburg High"/>
    <s v="Nutrition Assistant"/>
    <m/>
    <n v="11652"/>
    <n v="14847.5"/>
    <n v="18043"/>
  </r>
  <r>
    <s v="Sayers"/>
    <s v="Ricky"/>
    <n v="12599"/>
    <n v="41499"/>
    <m/>
    <m/>
    <m/>
    <m/>
    <x v="30"/>
    <m/>
    <n v="26.128"/>
    <n v="48990"/>
    <n v="250"/>
    <n v="7.5"/>
    <n v="1"/>
    <n v="48990"/>
    <s v="School Division"/>
    <s v="Communications/Electronic Technician"/>
    <m/>
    <n v="27037"/>
    <n v="39859"/>
    <n v="52681"/>
  </r>
  <r>
    <s v="Saylor"/>
    <s v="Edward"/>
    <n v="10237"/>
    <n v="35977"/>
    <m/>
    <m/>
    <m/>
    <m/>
    <x v="15"/>
    <m/>
    <n v="40.994133333333338"/>
    <n v="76864"/>
    <n v="250"/>
    <n v="7.5"/>
    <n v="1"/>
    <n v="76864"/>
    <s v="Skyline Middle"/>
    <s v="Computer Resource Technician"/>
    <m/>
    <n v="42007"/>
    <n v="54516.5"/>
    <n v="67026"/>
  </r>
  <r>
    <s v="Schoenhardt"/>
    <s v="Marc"/>
    <n v="11814"/>
    <n v="40408"/>
    <m/>
    <m/>
    <m/>
    <m/>
    <x v="5"/>
    <m/>
    <n v="17.335714285714285"/>
    <n v="24270"/>
    <n v="200"/>
    <n v="7"/>
    <n v="1"/>
    <n v="24270"/>
    <s v="Waterman Elementary"/>
    <s v="Technology I"/>
    <m/>
    <n v="22017"/>
    <n v="29451.5"/>
    <n v="36886"/>
  </r>
  <r>
    <s v="Schreiber-May"/>
    <s v="Phyllis"/>
    <n v="10381"/>
    <n v="39314"/>
    <m/>
    <m/>
    <m/>
    <m/>
    <x v="21"/>
    <m/>
    <n v="17.920000000000002"/>
    <n v="22754"/>
    <n v="180"/>
    <n v="7"/>
    <n v="1"/>
    <n v="22754"/>
    <s v="Spotswood Elementary"/>
    <s v="Nutrition Manager"/>
    <m/>
    <n v="18939"/>
    <n v="24687.5"/>
    <n v="30436"/>
  </r>
  <r>
    <s v="Seifert"/>
    <s v="Kimberly"/>
    <n v="13210"/>
    <n v="42205"/>
    <m/>
    <m/>
    <m/>
    <m/>
    <x v="31"/>
    <m/>
    <n v="28.128533333333333"/>
    <n v="52741"/>
    <n v="250"/>
    <n v="7.5"/>
    <n v="1"/>
    <n v="52741"/>
    <s v="Central Office"/>
    <s v="Payroll Supervisor"/>
    <m/>
    <n v="35429"/>
    <n v="48714.5"/>
    <n v="62000"/>
  </r>
  <r>
    <s v="Sharif"/>
    <s v="Nzar"/>
    <n v="14643"/>
    <n v="43731"/>
    <m/>
    <m/>
    <m/>
    <m/>
    <x v="15"/>
    <m/>
    <n v="30.2912"/>
    <n v="56796"/>
    <n v="250"/>
    <n v="7.5"/>
    <n v="1"/>
    <n v="56796"/>
    <s v="Central Office"/>
    <s v="Data Processing Administrator"/>
    <m/>
    <n v="42007"/>
    <n v="54516.5"/>
    <n v="67026"/>
  </r>
  <r>
    <s v="Shears"/>
    <s v="Gail"/>
    <n v="12338"/>
    <n v="41115"/>
    <m/>
    <m/>
    <m/>
    <m/>
    <x v="20"/>
    <m/>
    <n v="24.619199999999999"/>
    <n v="46161"/>
    <n v="250"/>
    <n v="7.5"/>
    <n v="1"/>
    <n v="46161"/>
    <s v="Smithland Elementary"/>
    <s v="Secretary - Bookkeeper"/>
    <m/>
    <n v="29279"/>
    <n v="41723"/>
    <n v="54167"/>
  </r>
  <r>
    <s v="Sherman"/>
    <s v="Denise"/>
    <n v="10533"/>
    <n v="38215"/>
    <m/>
    <m/>
    <m/>
    <m/>
    <x v="3"/>
    <m/>
    <n v="17.207857142857144"/>
    <n v="24091"/>
    <n v="200"/>
    <n v="7"/>
    <n v="1"/>
    <n v="24091"/>
    <s v="Elon Rhodes"/>
    <s v="Teacher Assistant - VPI"/>
    <m/>
    <n v="17692"/>
    <n v="25107.5"/>
    <n v="32523"/>
  </r>
  <r>
    <s v="Shifflett"/>
    <s v="Carissa"/>
    <n v="10534"/>
    <n v="37284"/>
    <m/>
    <m/>
    <m/>
    <m/>
    <x v="3"/>
    <m/>
    <n v="16.385714285714286"/>
    <n v="22940"/>
    <n v="200"/>
    <n v="7"/>
    <n v="1"/>
    <n v="22940"/>
    <s v="Stone Spring Elementary"/>
    <s v="Teacher Assistant - Instruction"/>
    <m/>
    <n v="17692"/>
    <n v="25107.5"/>
    <n v="32523"/>
  </r>
  <r>
    <s v="Shifflett"/>
    <s v="Mark"/>
    <n v="14865"/>
    <n v="44018"/>
    <m/>
    <m/>
    <m/>
    <m/>
    <x v="0"/>
    <m/>
    <n v="21.44"/>
    <n v="42880"/>
    <n v="250"/>
    <n v="8"/>
    <n v="1"/>
    <n v="42880"/>
    <s v="Waterman Elementary"/>
    <s v="Custodian"/>
    <m/>
    <n v="23000"/>
    <n v="33714"/>
    <n v="44428"/>
  </r>
  <r>
    <s v="Shifflett"/>
    <s v="Susan"/>
    <n v="10384"/>
    <n v="38951"/>
    <m/>
    <m/>
    <m/>
    <m/>
    <x v="2"/>
    <m/>
    <n v="14.5"/>
    <n v="14354"/>
    <n v="180"/>
    <n v="5.5"/>
    <n v="1"/>
    <n v="14354"/>
    <s v="Skyline Middle"/>
    <s v="Nutrition Assistant"/>
    <m/>
    <n v="11652"/>
    <n v="14847.5"/>
    <n v="18043"/>
  </r>
  <r>
    <s v="Shonk"/>
    <s v="Jennifer"/>
    <n v="14015"/>
    <n v="43026"/>
    <m/>
    <m/>
    <m/>
    <m/>
    <x v="3"/>
    <m/>
    <n v="14.663571428571428"/>
    <n v="20529"/>
    <n v="200"/>
    <n v="7"/>
    <n v="1"/>
    <n v="20529"/>
    <s v="Smithland Elementary"/>
    <s v="Teacher Assistant - Instruction"/>
    <m/>
    <n v="17692"/>
    <n v="25107.5"/>
    <n v="32523"/>
  </r>
  <r>
    <s v="Shultz"/>
    <s v="Regina"/>
    <n v="11891"/>
    <n v="40525"/>
    <m/>
    <m/>
    <m/>
    <m/>
    <x v="11"/>
    <m/>
    <n v="45.152380952380952"/>
    <n v="66374"/>
    <n v="210"/>
    <n v="7"/>
    <n v="1"/>
    <n v="66374"/>
    <s v="Bluestone Elementary"/>
    <s v="School Nurse - RN"/>
    <m/>
    <n v="48500"/>
    <n v="56919"/>
    <n v="65338"/>
  </r>
  <r>
    <s v="Siever"/>
    <s v="Lisa"/>
    <n v="10013"/>
    <n v="36005"/>
    <m/>
    <m/>
    <m/>
    <m/>
    <x v="16"/>
    <m/>
    <n v="25.327466666666666"/>
    <n v="47489"/>
    <n v="250"/>
    <n v="7.5"/>
    <n v="1"/>
    <n v="47489"/>
    <s v="Central Office"/>
    <s v="Secretary - Instruction"/>
    <m/>
    <n v="29279"/>
    <n v="41723"/>
    <n v="54167"/>
  </r>
  <r>
    <s v="Silva"/>
    <s v="Sandra"/>
    <n v="13385"/>
    <n v="42340"/>
    <m/>
    <m/>
    <m/>
    <m/>
    <x v="3"/>
    <m/>
    <n v="15.707857142857142"/>
    <n v="21991"/>
    <n v="200"/>
    <n v="7"/>
    <n v="1"/>
    <n v="21991"/>
    <s v="Keister Elementary"/>
    <s v="Teacher Assistant - Instruction"/>
    <m/>
    <n v="17692"/>
    <n v="25107.5"/>
    <n v="32523"/>
  </r>
  <r>
    <s v="Simmons"/>
    <s v="Doris"/>
    <n v="10385"/>
    <n v="38951"/>
    <m/>
    <m/>
    <m/>
    <m/>
    <x v="1"/>
    <m/>
    <n v="17.739999999999998"/>
    <n v="12772.8"/>
    <n v="180"/>
    <n v="4"/>
    <n v="1"/>
    <n v="12772.8"/>
    <s v="Bluestone Elementary"/>
    <s v="Nutrition Assistant Part Time"/>
    <m/>
    <m/>
    <m/>
    <m/>
  </r>
  <r>
    <s v="Simons"/>
    <s v="Jennifer"/>
    <n v="13696"/>
    <n v="42640"/>
    <m/>
    <m/>
    <m/>
    <m/>
    <x v="3"/>
    <m/>
    <n v="15.968571428571428"/>
    <n v="22356"/>
    <n v="200"/>
    <n v="7"/>
    <n v="1"/>
    <n v="22356"/>
    <s v="Harrisonburg High"/>
    <s v="Teacher Assistant - SPED"/>
    <m/>
    <n v="17692"/>
    <n v="25107.5"/>
    <n v="32523"/>
  </r>
  <r>
    <s v="Simpson"/>
    <s v="Ruth"/>
    <n v="14935"/>
    <n v="44111"/>
    <m/>
    <m/>
    <m/>
    <m/>
    <x v="3"/>
    <m/>
    <n v="12.78"/>
    <n v="17892"/>
    <n v="200"/>
    <n v="7"/>
    <n v="1"/>
    <n v="17892"/>
    <s v="Thomas Harrison Middle"/>
    <s v="Teacher Assistant - ISS"/>
    <m/>
    <n v="17692"/>
    <n v="25107.5"/>
    <n v="32523"/>
  </r>
  <r>
    <s v="Smith"/>
    <s v="Kennedy"/>
    <n v="14909"/>
    <n v="44060"/>
    <m/>
    <m/>
    <m/>
    <m/>
    <x v="3"/>
    <m/>
    <n v="12.967142857142857"/>
    <n v="18154"/>
    <n v="200"/>
    <n v="7"/>
    <n v="1"/>
    <n v="18154"/>
    <s v="Waterman Elementary"/>
    <s v="Teacher Assistant - Instruction"/>
    <m/>
    <n v="17692"/>
    <n v="25107.5"/>
    <n v="32523"/>
  </r>
  <r>
    <s v="Smith"/>
    <s v="Lora"/>
    <n v="10050"/>
    <n v="32517"/>
    <m/>
    <m/>
    <m/>
    <m/>
    <x v="4"/>
    <m/>
    <n v="20.664999999999999"/>
    <n v="41330"/>
    <n v="250"/>
    <n v="8"/>
    <n v="1"/>
    <n v="41330"/>
    <s v="Skyline Middle"/>
    <s v="Custodian - Head"/>
    <m/>
    <n v="24500"/>
    <n v="35214"/>
    <n v="45928"/>
  </r>
  <r>
    <s v="Smith"/>
    <s v="Tracy"/>
    <n v="14178"/>
    <n v="43180"/>
    <m/>
    <m/>
    <m/>
    <m/>
    <x v="3"/>
    <m/>
    <n v="12.967142857142857"/>
    <n v="18154"/>
    <n v="200"/>
    <n v="7"/>
    <n v="1"/>
    <n v="18154"/>
    <s v="Bluestone Elementary"/>
    <s v="Teacher Assistant - SPED"/>
    <m/>
    <n v="17692"/>
    <n v="25107.5"/>
    <n v="32523"/>
  </r>
  <r>
    <s v="Sokolyuk"/>
    <s v="Valentina"/>
    <n v="10073"/>
    <n v="36815"/>
    <m/>
    <m/>
    <m/>
    <m/>
    <x v="10"/>
    <m/>
    <n v="24.977142857142859"/>
    <n v="17484"/>
    <n v="200"/>
    <n v="3.5"/>
    <n v="0.5"/>
    <n v="34968"/>
    <s v="Harrisonburg High"/>
    <s v="Home School Liaison"/>
    <m/>
    <n v="30655"/>
    <n v="36071.5"/>
    <n v="41488"/>
  </r>
  <r>
    <s v="Sokolyuk"/>
    <s v="Valentina"/>
    <n v="10073"/>
    <n v="36815"/>
    <m/>
    <m/>
    <m/>
    <m/>
    <x v="3"/>
    <m/>
    <n v="16.385714285714286"/>
    <n v="11470"/>
    <n v="200"/>
    <n v="3.5"/>
    <n v="0.5"/>
    <n v="22940"/>
    <s v="Harrisonburg High"/>
    <s v="Teacher Assistant - Instruction"/>
    <m/>
    <n v="17692"/>
    <n v="25107.5"/>
    <n v="32523"/>
  </r>
  <r>
    <s v="Sonifrank"/>
    <s v="Keyana"/>
    <n v="14460"/>
    <n v="43472"/>
    <m/>
    <m/>
    <m/>
    <m/>
    <x v="21"/>
    <m/>
    <n v="17.920000000000002"/>
    <n v="22754"/>
    <n v="180"/>
    <n v="7"/>
    <n v="1"/>
    <n v="22754"/>
    <s v="Bluestone Elementary"/>
    <s v="Nutrition Manager"/>
    <m/>
    <n v="18939"/>
    <n v="24687.5"/>
    <n v="30436"/>
  </r>
  <r>
    <s v="Spears"/>
    <s v="Janielle"/>
    <n v="14915"/>
    <n v="44067"/>
    <m/>
    <m/>
    <m/>
    <m/>
    <x v="3"/>
    <m/>
    <n v="15.707857142857142"/>
    <n v="21991"/>
    <n v="200"/>
    <n v="7"/>
    <n v="1"/>
    <n v="21991"/>
    <s v="Bluestone Elementary"/>
    <s v="Teacher Assistant - SPED"/>
    <m/>
    <n v="17692"/>
    <n v="25107.5"/>
    <n v="32523"/>
  </r>
  <r>
    <s v="Spitzer"/>
    <s v="Mark"/>
    <n v="13204"/>
    <n v="42212"/>
    <m/>
    <m/>
    <m/>
    <m/>
    <x v="0"/>
    <m/>
    <n v="15.884499999999999"/>
    <n v="31769"/>
    <n v="250"/>
    <n v="8"/>
    <n v="1"/>
    <n v="31769"/>
    <s v="Harrisonburg High"/>
    <s v="Custodian"/>
    <m/>
    <n v="23000"/>
    <n v="33714"/>
    <n v="44428"/>
  </r>
  <r>
    <s v="Spitzer"/>
    <s v="Tamyla"/>
    <n v="10014"/>
    <n v="30518"/>
    <m/>
    <m/>
    <m/>
    <m/>
    <x v="32"/>
    <m/>
    <n v="32.329066666666662"/>
    <n v="60617"/>
    <n v="250"/>
    <n v="7.5"/>
    <n v="1"/>
    <n v="60617"/>
    <s v="Central Office"/>
    <s v="Purchasing Specialist"/>
    <m/>
    <n v="35429"/>
    <n v="48714.5"/>
    <n v="62000"/>
  </r>
  <r>
    <s v="Sprouse"/>
    <s v="Wade"/>
    <n v="11279"/>
    <n v="39643"/>
    <m/>
    <m/>
    <m/>
    <m/>
    <x v="33"/>
    <m/>
    <n v="31.060227272727271"/>
    <n v="27333"/>
    <n v="220"/>
    <n v="4"/>
    <n v="0.5"/>
    <n v="54666"/>
    <s v="Central Office"/>
    <s v="Human Resources Assistant"/>
    <m/>
    <n v="26618"/>
    <n v="38596.5"/>
    <n v="50575"/>
  </r>
  <r>
    <s v="Stader"/>
    <s v="Lora"/>
    <n v="10324"/>
    <n v="37123"/>
    <m/>
    <m/>
    <m/>
    <m/>
    <x v="15"/>
    <m/>
    <n v="28.017600000000002"/>
    <n v="52533"/>
    <n v="250"/>
    <n v="7.5"/>
    <n v="1"/>
    <n v="52533"/>
    <s v="Central Office"/>
    <s v="Database Specialist"/>
    <m/>
    <n v="42007"/>
    <n v="54516.5"/>
    <n v="67026"/>
  </r>
  <r>
    <s v="Stefancin"/>
    <s v="Allison"/>
    <n v="13939"/>
    <n v="42968"/>
    <m/>
    <m/>
    <m/>
    <m/>
    <x v="34"/>
    <m/>
    <n v="19.210666666666668"/>
    <n v="36020"/>
    <n v="250"/>
    <n v="7.5"/>
    <n v="1"/>
    <n v="36020"/>
    <s v="Central Office"/>
    <s v="Secretary - Finance"/>
    <m/>
    <n v="26618"/>
    <n v="38596.5"/>
    <n v="50575"/>
  </r>
  <r>
    <s v="Stoner"/>
    <s v="Christa"/>
    <n v="12843"/>
    <n v="41862"/>
    <m/>
    <m/>
    <m/>
    <m/>
    <x v="3"/>
    <m/>
    <n v="16.805"/>
    <n v="23527"/>
    <n v="200"/>
    <n v="7"/>
    <n v="1"/>
    <n v="23527"/>
    <s v="Stone Spring Elementary"/>
    <s v="Teacher Assistant - Instruction"/>
    <m/>
    <n v="17692"/>
    <n v="25107.5"/>
    <n v="32523"/>
  </r>
  <r>
    <s v="Stover"/>
    <s v="Dianna"/>
    <n v="10247"/>
    <n v="30251"/>
    <m/>
    <m/>
    <m/>
    <m/>
    <x v="0"/>
    <m/>
    <n v="24.270499999999998"/>
    <n v="48541"/>
    <n v="250"/>
    <n v="8"/>
    <n v="1"/>
    <n v="48541"/>
    <s v="Central Office"/>
    <s v="Custodian"/>
    <m/>
    <n v="23000"/>
    <n v="33714"/>
    <n v="44428"/>
  </r>
  <r>
    <s v="Strother"/>
    <s v="Sherry"/>
    <n v="10427"/>
    <n v="37431"/>
    <m/>
    <m/>
    <m/>
    <m/>
    <x v="3"/>
    <m/>
    <n v="15.968571428571428"/>
    <n v="22356"/>
    <n v="200"/>
    <n v="7"/>
    <n v="1"/>
    <n v="22356"/>
    <s v="Elon Rhodes"/>
    <s v="Teacher Assistant - ECSE"/>
    <m/>
    <n v="17692"/>
    <n v="25107.5"/>
    <n v="32523"/>
  </r>
  <r>
    <s v="Sullenger"/>
    <s v="Kelly"/>
    <n v="11824"/>
    <n v="40413"/>
    <m/>
    <m/>
    <m/>
    <m/>
    <x v="3"/>
    <m/>
    <n v="16.805"/>
    <n v="23527"/>
    <n v="200"/>
    <n v="7"/>
    <n v="1"/>
    <n v="23527"/>
    <s v="Stone Spring Elementary"/>
    <s v="Teacher Assistant - SPED"/>
    <m/>
    <n v="17692"/>
    <n v="25107.5"/>
    <n v="32523"/>
  </r>
  <r>
    <s v="Supko"/>
    <s v="Robert"/>
    <n v="10027"/>
    <n v="32744"/>
    <m/>
    <m/>
    <m/>
    <m/>
    <x v="1"/>
    <m/>
    <n v="54.159740259740261"/>
    <n v="83406"/>
    <n v="220"/>
    <n v="7"/>
    <n v="1"/>
    <n v="83406"/>
    <s v="Harrisonburg High"/>
    <s v="Truancy and Attendance Specialist"/>
    <m/>
    <m/>
    <s v=" "/>
    <m/>
  </r>
  <r>
    <s v="Tegenu"/>
    <s v="Tigist"/>
    <n v="14329"/>
    <n v="43336"/>
    <m/>
    <m/>
    <m/>
    <m/>
    <x v="2"/>
    <m/>
    <n v="13.33"/>
    <n v="13196"/>
    <n v="180"/>
    <n v="5.5"/>
    <n v="1"/>
    <n v="13196"/>
    <s v="Skyline Middle"/>
    <s v="Nutrition Assistant"/>
    <m/>
    <n v="11652"/>
    <n v="14847.5"/>
    <n v="18043"/>
  </r>
  <r>
    <s v="Tran"/>
    <s v="Nhi"/>
    <n v="12073"/>
    <n v="40760"/>
    <m/>
    <m/>
    <m/>
    <m/>
    <x v="2"/>
    <m/>
    <n v="16.53"/>
    <n v="16362"/>
    <n v="180"/>
    <n v="5.5"/>
    <n v="1"/>
    <n v="16362"/>
    <s v="Spotswood Elementary"/>
    <s v="Nutrition Assistant"/>
    <m/>
    <n v="11652"/>
    <n v="14847.5"/>
    <n v="18043"/>
  </r>
  <r>
    <s v="Turner-Woods"/>
    <s v="Tessa"/>
    <n v="12637"/>
    <n v="41561"/>
    <m/>
    <m/>
    <m/>
    <m/>
    <x v="2"/>
    <m/>
    <n v="13.69"/>
    <n v="13557"/>
    <n v="180"/>
    <n v="5.5"/>
    <n v="1"/>
    <n v="13557"/>
    <s v="Smithland Elementary"/>
    <s v="Nutrition Assistant"/>
    <m/>
    <n v="11652"/>
    <n v="14847.5"/>
    <n v="18043"/>
  </r>
  <r>
    <s v="Tyler"/>
    <s v="Hannah"/>
    <n v="14281"/>
    <n v="43325"/>
    <m/>
    <m/>
    <m/>
    <m/>
    <x v="3"/>
    <m/>
    <n v="12.967142857142857"/>
    <n v="18154"/>
    <n v="200"/>
    <n v="7"/>
    <n v="1"/>
    <n v="18154"/>
    <s v="Stone Spring Elementary"/>
    <s v="Teacher Assistant - SPED"/>
    <m/>
    <n v="17692"/>
    <n v="25107.5"/>
    <n v="32523"/>
  </r>
  <r>
    <s v="Untilova"/>
    <s v="Inna"/>
    <n v="12931"/>
    <n v="41904"/>
    <m/>
    <m/>
    <m/>
    <m/>
    <x v="2"/>
    <m/>
    <n v="14.91"/>
    <n v="14758"/>
    <n v="180"/>
    <n v="5.5"/>
    <n v="1"/>
    <n v="14758"/>
    <s v="Waterman Elementary"/>
    <s v="Nutrition Assistant"/>
    <m/>
    <n v="11652"/>
    <n v="14847.5"/>
    <n v="18043"/>
  </r>
  <r>
    <s v="Velez"/>
    <s v="Ana"/>
    <n v="14042"/>
    <n v="43047"/>
    <m/>
    <m/>
    <m/>
    <m/>
    <x v="13"/>
    <m/>
    <n v="17.816233766233768"/>
    <n v="27437"/>
    <n v="220"/>
    <n v="7"/>
    <n v="1"/>
    <n v="27437"/>
    <s v="Harrisonburg High"/>
    <s v="Secretary"/>
    <m/>
    <n v="24198"/>
    <n v="36297"/>
    <n v="48396"/>
  </r>
  <r>
    <s v="Vernon"/>
    <s v="Nancye"/>
    <n v="14791"/>
    <n v="43864"/>
    <m/>
    <m/>
    <m/>
    <m/>
    <x v="2"/>
    <m/>
    <n v="12.52"/>
    <n v="12393"/>
    <n v="180"/>
    <n v="5.5"/>
    <n v="1"/>
    <n v="12393"/>
    <s v="Keister Elementary"/>
    <s v="Nutrition Assistant"/>
    <m/>
    <n v="11652"/>
    <n v="14847.5"/>
    <n v="18043"/>
  </r>
  <r>
    <s v="Via"/>
    <s v="Beverly"/>
    <n v="14867"/>
    <n v="44013"/>
    <m/>
    <m/>
    <m/>
    <m/>
    <x v="4"/>
    <m/>
    <n v="16.245999999999999"/>
    <n v="32492"/>
    <n v="250"/>
    <n v="8"/>
    <n v="1"/>
    <n v="32492"/>
    <s v="Thomas Harrison Middle"/>
    <s v="Custodian - Head"/>
    <m/>
    <n v="24500"/>
    <n v="35214"/>
    <n v="45928"/>
  </r>
  <r>
    <s v="Walker"/>
    <s v="Donna"/>
    <n v="13843"/>
    <n v="42933"/>
    <m/>
    <m/>
    <m/>
    <m/>
    <x v="13"/>
    <m/>
    <n v="25.061038961038964"/>
    <n v="38594"/>
    <n v="220"/>
    <n v="7"/>
    <n v="1"/>
    <n v="38594"/>
    <s v="Bluestone Elementary"/>
    <s v="Secretary - Administrative"/>
    <m/>
    <n v="24198"/>
    <n v="36297"/>
    <n v="48396"/>
  </r>
  <r>
    <s v="Walters"/>
    <s v="Amy"/>
    <n v="14968"/>
    <n v="44230"/>
    <m/>
    <m/>
    <m/>
    <m/>
    <x v="3"/>
    <m/>
    <n v="15.707857142857142"/>
    <n v="21991"/>
    <n v="200"/>
    <n v="7"/>
    <n v="1"/>
    <n v="21991"/>
    <s v="Skyline Middle"/>
    <s v="Teacher Assistant - SPED"/>
    <m/>
    <n v="17692"/>
    <n v="25107.5"/>
    <n v="32523"/>
  </r>
  <r>
    <s v="Walton"/>
    <s v="Bradley"/>
    <n v="10040"/>
    <n v="36678"/>
    <m/>
    <m/>
    <m/>
    <m/>
    <x v="13"/>
    <m/>
    <n v="18.634133333333335"/>
    <n v="34939"/>
    <n v="250"/>
    <n v="7.5"/>
    <n v="1"/>
    <n v="34939"/>
    <s v="Harrisonburg High"/>
    <s v="Secretary - Media Center"/>
    <m/>
    <n v="24198"/>
    <n v="36297"/>
    <n v="48396"/>
  </r>
  <r>
    <s v="West"/>
    <s v="Rachel"/>
    <n v="13848"/>
    <n v="42968"/>
    <m/>
    <m/>
    <m/>
    <m/>
    <x v="15"/>
    <m/>
    <n v="23.5776"/>
    <n v="44208"/>
    <n v="250"/>
    <n v="7.5"/>
    <n v="1"/>
    <n v="44208"/>
    <s v="Bluestone Elementary"/>
    <s v="Computer Resource Technician"/>
    <m/>
    <n v="42007"/>
    <n v="54516.5"/>
    <n v="67026"/>
  </r>
  <r>
    <s v="Wetzel"/>
    <s v="Sherry"/>
    <n v="10319"/>
    <n v="38210"/>
    <m/>
    <m/>
    <m/>
    <m/>
    <x v="35"/>
    <m/>
    <n v="19.010000000000002"/>
    <n v="23957"/>
    <n v="180"/>
    <n v="7"/>
    <n v="1"/>
    <n v="23957"/>
    <s v="Thomas Harrison Middle"/>
    <s v="Nutrition Manager"/>
    <m/>
    <n v="21434"/>
    <n v="27122"/>
    <n v="32810"/>
  </r>
  <r>
    <s v="Williams"/>
    <s v="Ashby"/>
    <n v="11543"/>
    <n v="39944"/>
    <m/>
    <m/>
    <m/>
    <m/>
    <x v="0"/>
    <m/>
    <n v="16.608499999999999"/>
    <n v="33217"/>
    <n v="250"/>
    <n v="8"/>
    <n v="1"/>
    <n v="33217"/>
    <s v="Skyline Middle"/>
    <s v="Custodian"/>
    <m/>
    <n v="23000"/>
    <n v="33714"/>
    <n v="44428"/>
  </r>
  <r>
    <s v="Williams"/>
    <s v="Quinton"/>
    <n v="14531"/>
    <n v="43515"/>
    <m/>
    <m/>
    <m/>
    <m/>
    <x v="3"/>
    <m/>
    <n v="13.500714285714285"/>
    <n v="18901"/>
    <n v="200"/>
    <n v="7"/>
    <n v="1"/>
    <n v="18901"/>
    <s v="Thomas Harrison Middle"/>
    <s v="Teacher Assistant"/>
    <m/>
    <n v="17692"/>
    <n v="25107.5"/>
    <n v="32523"/>
  </r>
  <r>
    <s v="Williamson"/>
    <s v="Miranda"/>
    <n v="13844"/>
    <n v="42917"/>
    <m/>
    <m/>
    <m/>
    <m/>
    <x v="20"/>
    <m/>
    <n v="20.984533333333331"/>
    <n v="39346"/>
    <n v="250"/>
    <n v="7.5"/>
    <n v="1"/>
    <n v="39346"/>
    <s v="Bluestone Elementary"/>
    <s v="Secretary - Bookkeeper"/>
    <m/>
    <n v="29279"/>
    <n v="41723"/>
    <n v="54167"/>
  </r>
  <r>
    <s v="Wimer"/>
    <s v="Jennifer"/>
    <n v="10634"/>
    <n v="37179"/>
    <m/>
    <m/>
    <m/>
    <m/>
    <x v="3"/>
    <m/>
    <n v="15.968571428571428"/>
    <n v="22356"/>
    <n v="200"/>
    <n v="7"/>
    <n v="1"/>
    <n v="22356"/>
    <s v="Thomas Harrison Middle"/>
    <s v="Teacher Assistant - SPED"/>
    <m/>
    <n v="17692"/>
    <n v="25107.5"/>
    <n v="32523"/>
  </r>
  <r>
    <s v="Wright"/>
    <s v="Thomas"/>
    <n v="12988"/>
    <n v="42009"/>
    <m/>
    <m/>
    <m/>
    <m/>
    <x v="17"/>
    <m/>
    <n v="26.340499999999999"/>
    <n v="52681"/>
    <n v="250"/>
    <n v="8"/>
    <n v="1"/>
    <n v="52681"/>
    <s v="School Division"/>
    <s v="Maintenance"/>
    <m/>
    <n v="27037"/>
    <n v="39859"/>
    <n v="52681"/>
  </r>
  <r>
    <s v="Wright"/>
    <s v="Tiffany"/>
    <n v="11821"/>
    <n v="40413"/>
    <m/>
    <m/>
    <m/>
    <m/>
    <x v="1"/>
    <m/>
    <n v="11"/>
    <n v="5940"/>
    <n v="180"/>
    <n v="3"/>
    <n v="1"/>
    <n v="5940"/>
    <s v="Waterman Elementary"/>
    <s v="Nutrition Monitor"/>
    <m/>
    <m/>
    <m/>
    <m/>
  </r>
  <r>
    <s v="Wright"/>
    <s v="Wanda"/>
    <n v="10391"/>
    <n v="37495"/>
    <m/>
    <m/>
    <m/>
    <m/>
    <x v="21"/>
    <m/>
    <n v="19.510000000000002"/>
    <n v="24587"/>
    <n v="180"/>
    <n v="7"/>
    <n v="1"/>
    <n v="24587"/>
    <s v="Waterman Elementary"/>
    <s v="Nutrition Manager"/>
    <m/>
    <n v="18939"/>
    <n v="24687.5"/>
    <n v="30436"/>
  </r>
  <r>
    <s v="Wszalek"/>
    <s v="Jessica"/>
    <n v="14802"/>
    <n v="43865"/>
    <m/>
    <m/>
    <m/>
    <m/>
    <x v="3"/>
    <m/>
    <n v="12.78"/>
    <n v="17892"/>
    <n v="200"/>
    <n v="7"/>
    <n v="1"/>
    <n v="17892"/>
    <s v="Elon Rhodes"/>
    <s v="Teacher Assistant - VPI"/>
    <m/>
    <n v="17692"/>
    <n v="25107.5"/>
    <n v="32523"/>
  </r>
  <r>
    <s v="Yankey"/>
    <s v="Melodie"/>
    <n v="11349"/>
    <n v="39678"/>
    <m/>
    <m/>
    <m/>
    <m/>
    <x v="21"/>
    <m/>
    <n v="18.3"/>
    <n v="23054"/>
    <n v="180"/>
    <n v="7"/>
    <n v="1"/>
    <n v="23054"/>
    <s v="Keister Elementary"/>
    <s v="Nutrition Manager"/>
    <m/>
    <n v="18939"/>
    <n v="24687.5"/>
    <n v="30436"/>
  </r>
  <r>
    <s v="Yu"/>
    <s v="Winifred"/>
    <n v="13037"/>
    <n v="42648"/>
    <m/>
    <m/>
    <m/>
    <m/>
    <x v="3"/>
    <m/>
    <n v="12.922857142857142"/>
    <n v="18092"/>
    <n v="200"/>
    <n v="7"/>
    <n v="1"/>
    <n v="18092"/>
    <s v="Skyline Middle"/>
    <s v="Teacher Assistant - SPED"/>
    <m/>
    <n v="17692"/>
    <n v="25107.5"/>
    <n v="32523"/>
  </r>
  <r>
    <s v="Lopez Posada"/>
    <s v="Kenia"/>
    <n v="13647"/>
    <d v="2017-01-18T00:00:00"/>
    <m/>
    <m/>
    <d v="2017-01-18T00:00:00"/>
    <m/>
    <x v="36"/>
    <m/>
    <n v="15.464533333333332"/>
    <n v="28996"/>
    <n v="250"/>
    <n v="7.5"/>
    <n v="1"/>
    <n v="28996"/>
    <s v="Welcome Center"/>
    <s v="Registrar and Assessor"/>
    <m/>
    <n v="26618"/>
    <n v="38596.5"/>
    <n v="50575"/>
  </r>
  <r>
    <s v="Brown"/>
    <s v="Tammy"/>
    <n v="14837"/>
    <d v="2020-03-09T00:00:00"/>
    <n v="1.8111111111111111"/>
    <n v="43899"/>
    <n v="1.8111111111111111"/>
    <m/>
    <x v="37"/>
    <m/>
    <n v="24.762857142857143"/>
    <n v="34668"/>
    <n v="200"/>
    <n v="7"/>
    <n v="1"/>
    <n v="34668"/>
    <s v="Elon Rhodes"/>
    <s v="Speech Language Pathology Assistant"/>
    <m/>
    <n v="30655"/>
    <n v="36071.5"/>
    <n v="41488"/>
  </r>
  <r>
    <s v="Woodward"/>
    <s v="Hanah"/>
    <n v="15115"/>
    <d v="2021-08-04T00:00:00"/>
    <n v="0.40833333333333333"/>
    <n v="44412"/>
    <n v="0.40833333333333333"/>
    <m/>
    <x v="37"/>
    <m/>
    <n v="23.334285714285716"/>
    <n v="32668"/>
    <n v="200"/>
    <n v="7"/>
    <n v="1"/>
    <n v="32668"/>
    <s v="Central Office"/>
    <s v="Speech Language Pathology Assistant"/>
    <m/>
    <n v="30655"/>
    <n v="36071.5"/>
    <n v="41488"/>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60">
  <r>
    <s v="Abrams"/>
    <s v="Courtney"/>
    <n v="13205"/>
    <d v="2015-08-17T00:00:00"/>
    <n v="6.3722222222222218"/>
    <n v="42233"/>
    <n v="6.3722222222222218"/>
    <m/>
    <x v="0"/>
    <m/>
    <n v="37.562142857142859"/>
    <n v="52587"/>
    <n v="200"/>
    <n v="7"/>
    <n v="1"/>
    <n v="52587"/>
    <s v="Stone Spring Elementary"/>
    <s v="Reading Specialist"/>
    <m/>
    <n v="48500"/>
    <n v="56816"/>
    <n v="65132"/>
  </r>
  <r>
    <s v="Adamek"/>
    <s v="Angela"/>
    <n v="10430"/>
    <d v="2000-08-16T00:00:00"/>
    <n v="21.375"/>
    <n v="36754"/>
    <n v="21.375"/>
    <m/>
    <x v="0"/>
    <m/>
    <n v="48.181428571428569"/>
    <n v="67454"/>
    <n v="200"/>
    <n v="7"/>
    <n v="1"/>
    <n v="67454"/>
    <s v="Spotswood Elementary"/>
    <s v="School Counselor"/>
    <m/>
    <n v="48500"/>
    <n v="56816"/>
    <n v="65132"/>
  </r>
  <r>
    <s v="Adams"/>
    <s v="Rachael"/>
    <n v="10646"/>
    <d v="2005-03-01T00:00:00"/>
    <n v="16.833333333333332"/>
    <n v="38412"/>
    <n v="16.833333333333332"/>
    <m/>
    <x v="0"/>
    <m/>
    <n v="37.172142857142852"/>
    <n v="52041"/>
    <n v="200"/>
    <n v="7"/>
    <n v="1"/>
    <n v="52041"/>
    <s v="Smithland Elementary"/>
    <s v="SPED Teacher"/>
    <m/>
    <n v="48500"/>
    <n v="56816"/>
    <n v="65132"/>
  </r>
  <r>
    <s v="Adjetey"/>
    <s v="Anita"/>
    <n v="13573"/>
    <d v="2016-08-01T00:00:00"/>
    <n v="5.416666666666667"/>
    <n v="42583"/>
    <n v="5.416666666666667"/>
    <m/>
    <x v="0"/>
    <m/>
    <n v="39.035064935064938"/>
    <n v="60114"/>
    <n v="220"/>
    <n v="7"/>
    <n v="1"/>
    <n v="60114"/>
    <s v="Skyline Middle"/>
    <s v="School Counselor"/>
    <m/>
    <n v="48500"/>
    <n v="56816"/>
    <n v="65132"/>
  </r>
  <r>
    <s v="Aigner"/>
    <s v="Nancy"/>
    <n v="10638"/>
    <d v="2000-09-01T00:00:00"/>
    <n v="21.333333333333332"/>
    <n v="36770"/>
    <n v="21.333333333333332"/>
    <m/>
    <x v="0"/>
    <m/>
    <n v="42.532142857142858"/>
    <n v="59545"/>
    <n v="200"/>
    <n v="7"/>
    <n v="1"/>
    <n v="59545"/>
    <s v="Thomas Harrison Middle"/>
    <s v="Language Arts Teacher"/>
    <m/>
    <n v="48500"/>
    <n v="56816"/>
    <n v="65132"/>
  </r>
  <r>
    <s v="Aistrop Vanhook"/>
    <s v="Mistie"/>
    <n v="15111"/>
    <d v="2021-08-04T00:00:00"/>
    <n v="0.40833333333333333"/>
    <n v="44412"/>
    <n v="0.40833333333333333"/>
    <m/>
    <x v="0"/>
    <m/>
    <n v="39.505000000000003"/>
    <n v="55307"/>
    <n v="200"/>
    <n v="7"/>
    <n v="1"/>
    <n v="55307"/>
    <s v="Waterman Elementary"/>
    <s v="Itrt"/>
    <m/>
    <n v="48500"/>
    <n v="56816"/>
    <n v="65132"/>
  </r>
  <r>
    <s v="Albanese"/>
    <s v="Angela"/>
    <n v="11904"/>
    <d v="2010-12-08T00:00:00"/>
    <n v="11.063888888888888"/>
    <n v="40520"/>
    <n v="11.063888888888888"/>
    <m/>
    <x v="0"/>
    <m/>
    <n v="37.562337662337661"/>
    <n v="57846"/>
    <n v="220"/>
    <n v="7"/>
    <n v="1"/>
    <n v="57846"/>
    <s v="Harrisonburg High"/>
    <s v="Testing Coordinator - HHS"/>
    <m/>
    <n v="48500"/>
    <n v="56816"/>
    <n v="65132"/>
  </r>
  <r>
    <s v="Alsadoon"/>
    <s v="Shaymaa"/>
    <n v="13225"/>
    <d v="2015-08-10T00:00:00"/>
    <n v="6.3916666666666666"/>
    <n v="42226"/>
    <n v="6.3916666666666666"/>
    <m/>
    <x v="0"/>
    <m/>
    <n v="38.344285714285718"/>
    <n v="53682"/>
    <n v="200"/>
    <n v="7"/>
    <n v="1"/>
    <n v="53682"/>
    <s v="Harrisonburg High"/>
    <s v="Math Teacher"/>
    <m/>
    <n v="48500"/>
    <n v="56816"/>
    <n v="65132"/>
  </r>
  <r>
    <s v="Ameen"/>
    <s v="Shelan"/>
    <n v="12812"/>
    <d v="2014-08-07T00:00:00"/>
    <n v="7.4"/>
    <n v="41858"/>
    <n v="7.4"/>
    <m/>
    <x v="0"/>
    <m/>
    <n v="34.642857142857146"/>
    <n v="48500"/>
    <n v="200"/>
    <n v="7"/>
    <n v="1"/>
    <n v="48500"/>
    <s v="Stone Spring Elementary"/>
    <s v="ESL Specialist"/>
    <m/>
    <n v="48500"/>
    <n v="56816"/>
    <n v="65132"/>
  </r>
  <r>
    <s v="Amendola"/>
    <s v="Gemma"/>
    <n v="14877"/>
    <d v="2020-08-12T00:00:00"/>
    <n v="1.3861111111111111"/>
    <n v="44055"/>
    <n v="1.3861111111111111"/>
    <m/>
    <x v="0"/>
    <m/>
    <n v="40.299285714285716"/>
    <n v="56419"/>
    <n v="200"/>
    <n v="7"/>
    <n v="1"/>
    <n v="56419"/>
    <s v="Waterman Elementary"/>
    <s v="Art Teacher"/>
    <m/>
    <n v="48500"/>
    <n v="56816"/>
    <n v="65132"/>
  </r>
  <r>
    <s v="Anderson"/>
    <s v="Ashley"/>
    <n v="12779"/>
    <d v="2014-08-11T00:00:00"/>
    <n v="7.3888888888888893"/>
    <n v="41862"/>
    <n v="7.3888888888888893"/>
    <m/>
    <x v="0"/>
    <m/>
    <n v="36.780714285714282"/>
    <n v="51493"/>
    <n v="200"/>
    <n v="7"/>
    <n v="1"/>
    <n v="51493"/>
    <s v="Elon Rhodes"/>
    <s v="VPI Teacher"/>
    <m/>
    <n v="48500"/>
    <n v="56816"/>
    <n v="65132"/>
  </r>
  <r>
    <s v="Angel"/>
    <s v="Misty"/>
    <n v="12052"/>
    <d v="2011-08-15T00:00:00"/>
    <n v="10.377777777777778"/>
    <n v="40770"/>
    <n v="10.377777777777778"/>
    <m/>
    <x v="0"/>
    <m/>
    <n v="44.324999999999996"/>
    <n v="62055"/>
    <n v="200"/>
    <n v="7"/>
    <n v="1"/>
    <n v="62055"/>
    <s v="Waterman Elementary"/>
    <s v="Reading Specialist"/>
    <m/>
    <n v="48500"/>
    <n v="56816"/>
    <n v="65132"/>
  </r>
  <r>
    <s v="Anhold"/>
    <s v="Annie"/>
    <n v="13899"/>
    <d v="2017-08-21T00:00:00"/>
    <n v="4.3611111111111107"/>
    <n v="42968"/>
    <n v="4.3611111111111107"/>
    <m/>
    <x v="0"/>
    <m/>
    <n v="35.597857142857144"/>
    <n v="49837"/>
    <n v="200"/>
    <n v="7"/>
    <n v="1"/>
    <n v="49837"/>
    <s v="Smithland Elementary"/>
    <s v="Kindergarten Teacher"/>
    <m/>
    <n v="48500"/>
    <n v="56816"/>
    <n v="65132"/>
  </r>
  <r>
    <s v="Appleton"/>
    <s v="Emma"/>
    <n v="13737"/>
    <d v="2017-02-07T00:00:00"/>
    <n v="4.9000000000000004"/>
    <n v="42773"/>
    <n v="4.9000000000000004"/>
    <m/>
    <x v="0"/>
    <m/>
    <n v="34.865000000000002"/>
    <n v="48811"/>
    <n v="200"/>
    <n v="7"/>
    <n v="1"/>
    <n v="48811"/>
    <s v="Skyline Middle"/>
    <s v="Social Studies Teacher"/>
    <m/>
    <n v="48500"/>
    <n v="56816"/>
    <n v="65132"/>
  </r>
  <r>
    <s v="Arbogast"/>
    <s v="Lauren"/>
    <n v="11553"/>
    <d v="2009-08-14T00:00:00"/>
    <n v="12.380555555555556"/>
    <n v="40039"/>
    <n v="12.380555555555556"/>
    <m/>
    <x v="0"/>
    <m/>
    <n v="37.562142857142859"/>
    <n v="52587"/>
    <n v="200"/>
    <n v="7"/>
    <n v="1"/>
    <n v="52587"/>
    <s v="Elon Rhodes"/>
    <s v="VPI Teacher"/>
    <m/>
    <n v="48500"/>
    <n v="56816"/>
    <n v="65132"/>
  </r>
  <r>
    <s v="Arenas"/>
    <s v="Sarah"/>
    <n v="10640"/>
    <d v="2005-03-01T00:00:00"/>
    <n v="16.833333333333332"/>
    <n v="38412"/>
    <n v="16.833333333333332"/>
    <m/>
    <x v="0"/>
    <m/>
    <n v="39.035000000000004"/>
    <n v="54649"/>
    <n v="200"/>
    <n v="7"/>
    <n v="1"/>
    <n v="54649"/>
    <s v="Thomas Harrison Middle"/>
    <s v="Science Teacher"/>
    <m/>
    <n v="48500"/>
    <n v="56816"/>
    <n v="65132"/>
  </r>
  <r>
    <s v="Arias"/>
    <s v="Ana"/>
    <n v="13945"/>
    <d v="2017-08-21T00:00:00"/>
    <n v="4.3611111111111107"/>
    <n v="42968"/>
    <n v="4.3611111111111107"/>
    <m/>
    <x v="0"/>
    <m/>
    <n v="39.505000000000003"/>
    <n v="55307"/>
    <n v="200"/>
    <n v="7"/>
    <n v="1"/>
    <n v="55307"/>
    <s v="Central Office"/>
    <s v="Mental Health Counselor"/>
    <m/>
    <n v="48500"/>
    <n v="56816"/>
    <n v="65132"/>
  </r>
  <r>
    <s v="Armstrong"/>
    <s v="Madison"/>
    <n v="15104"/>
    <d v="2021-08-04T00:00:00"/>
    <n v="0.40833333333333333"/>
    <n v="44412"/>
    <n v="0.40833333333333333"/>
    <m/>
    <x v="0"/>
    <m/>
    <n v="34.865000000000002"/>
    <n v="48811"/>
    <n v="200"/>
    <n v="7"/>
    <n v="1"/>
    <n v="48811"/>
    <s v="Spotswood Elementary"/>
    <s v="Fourth Grade Teacher"/>
    <m/>
    <n v="48500"/>
    <n v="56816"/>
    <n v="65132"/>
  </r>
  <r>
    <s v="Atkins"/>
    <s v="Jessica"/>
    <n v="14937"/>
    <d v="2020-10-07T00:00:00"/>
    <n v="1.2333333333333334"/>
    <n v="44111"/>
    <n v="1.2333333333333334"/>
    <m/>
    <x v="0"/>
    <m/>
    <n v="35.007857142857141"/>
    <n v="49011"/>
    <n v="200"/>
    <n v="7"/>
    <n v="1"/>
    <n v="49011"/>
    <s v="Skyline Middle School"/>
    <s v="Math Teacher"/>
    <m/>
    <n v="48500"/>
    <n v="56816"/>
    <n v="65132"/>
  </r>
  <r>
    <s v="Atkins"/>
    <s v="Kimberley"/>
    <n v="10432"/>
    <d v="2003-08-13T00:00:00"/>
    <n v="18.383333333333333"/>
    <n v="37846"/>
    <n v="18.383333333333333"/>
    <m/>
    <x v="0"/>
    <m/>
    <n v="45.785714285714285"/>
    <n v="64100"/>
    <n v="200"/>
    <n v="7"/>
    <n v="1"/>
    <n v="64100"/>
    <s v="Spotswood Elementary"/>
    <s v="Newcomer Teacher"/>
    <m/>
    <n v="48500"/>
    <n v="56816"/>
    <n v="65132"/>
  </r>
  <r>
    <s v="Austin"/>
    <s v="Brian"/>
    <n v="11226"/>
    <d v="2008-08-13T00:00:00"/>
    <n v="13.383333333333333"/>
    <n v="39673"/>
    <n v="13.383333333333333"/>
    <m/>
    <x v="0"/>
    <m/>
    <n v="41.482142857142854"/>
    <n v="58075"/>
    <n v="200"/>
    <n v="7"/>
    <n v="1"/>
    <n v="58075"/>
    <s v="Thomas Harrison Middle"/>
    <s v="Social Studies Teacher"/>
    <m/>
    <n v="48500"/>
    <n v="56816"/>
    <n v="65132"/>
  </r>
  <r>
    <s v="Austin"/>
    <s v="Megan"/>
    <n v="13580"/>
    <d v="2016-08-15T00:00:00"/>
    <n v="5.3777777777777782"/>
    <n v="42597"/>
    <n v="5.3777777777777782"/>
    <m/>
    <x v="0"/>
    <m/>
    <n v="38.431168831168826"/>
    <n v="59184"/>
    <n v="220"/>
    <n v="7"/>
    <n v="1"/>
    <n v="59184"/>
    <s v="Thomas Harrison Middle"/>
    <s v="Music Teacher"/>
    <m/>
    <n v="48500"/>
    <n v="56816"/>
    <n v="65132"/>
  </r>
  <r>
    <s v="Avalos"/>
    <s v="Ellen"/>
    <n v="11388"/>
    <d v="2008-09-30T00:00:00"/>
    <n v="13.252777777777778"/>
    <n v="39721"/>
    <n v="13.252777777777778"/>
    <m/>
    <x v="0"/>
    <m/>
    <n v="41.482142857142854"/>
    <n v="58075"/>
    <n v="200"/>
    <n v="7"/>
    <n v="1"/>
    <n v="58075"/>
    <s v="Thomas Harrison Middle"/>
    <s v="Math Teacher"/>
    <m/>
    <n v="48500"/>
    <n v="56816"/>
    <n v="65132"/>
  </r>
  <r>
    <s v="Baer"/>
    <s v="Patricia"/>
    <n v="11079"/>
    <d v="1990-08-22T00:00:00"/>
    <n v="31.358333333333334"/>
    <n v="33107"/>
    <n v="31.358333333333334"/>
    <m/>
    <x v="0"/>
    <m/>
    <n v="48.181428571428569"/>
    <n v="67454"/>
    <n v="200"/>
    <n v="7"/>
    <n v="1"/>
    <n v="67454"/>
    <s v="Keister Elementary"/>
    <s v="ESL Specialist"/>
    <m/>
    <n v="48500"/>
    <n v="56816"/>
    <n v="65132"/>
  </r>
  <r>
    <s v="Bair"/>
    <s v="Gehrie"/>
    <n v="10085"/>
    <d v="2002-08-16T00:00:00"/>
    <n v="19.375"/>
    <n v="37484"/>
    <n v="19.375"/>
    <m/>
    <x v="0"/>
    <m/>
    <n v="41.007857142857141"/>
    <n v="57411"/>
    <n v="200"/>
    <n v="7"/>
    <n v="1"/>
    <n v="57411"/>
    <s v="Harrisonburg High"/>
    <s v="Biology Teacher"/>
    <m/>
    <n v="48500"/>
    <n v="56816"/>
    <n v="65132"/>
  </r>
  <r>
    <s v="Baker"/>
    <s v="Daniel"/>
    <n v="12602"/>
    <d v="2013-08-13T00:00:00"/>
    <n v="8.3833333333333329"/>
    <n v="41499"/>
    <n v="8.3833333333333329"/>
    <m/>
    <x v="0"/>
    <m/>
    <n v="36.780714285714282"/>
    <n v="51493"/>
    <n v="200"/>
    <n v="7"/>
    <n v="1"/>
    <n v="51493"/>
    <s v="Thomas Harrison Middle"/>
    <s v="English Teacher"/>
    <m/>
    <n v="48500"/>
    <n v="56816"/>
    <n v="65132"/>
  </r>
  <r>
    <s v="Baker"/>
    <s v="Jori"/>
    <n v="13873"/>
    <d v="2017-08-21T00:00:00"/>
    <n v="4.3611111111111107"/>
    <n v="42968"/>
    <n v="4.3611111111111107"/>
    <m/>
    <x v="0"/>
    <m/>
    <n v="35.597857142857144"/>
    <n v="49837"/>
    <n v="200"/>
    <n v="7"/>
    <n v="1"/>
    <n v="49837"/>
    <s v="Smithland Elementary"/>
    <s v="Third Grade Teacher"/>
    <m/>
    <n v="48500"/>
    <n v="56816"/>
    <n v="65132"/>
  </r>
  <r>
    <s v="Baker"/>
    <s v="Leah"/>
    <n v="13579"/>
    <d v="2016-08-15T00:00:00"/>
    <n v="5.3777777777777782"/>
    <n v="42597"/>
    <n v="5.3777777777777782"/>
    <m/>
    <x v="0"/>
    <m/>
    <n v="38.344285714285718"/>
    <n v="53682"/>
    <n v="200"/>
    <n v="7"/>
    <n v="1"/>
    <n v="53682"/>
    <s v="Spotswood Elementary"/>
    <s v="Differentiation Specialist"/>
    <m/>
    <n v="48500"/>
    <n v="56816"/>
    <n v="65132"/>
  </r>
  <r>
    <s v="Barbato Wood"/>
    <s v="Kathleen"/>
    <n v="12732"/>
    <d v="2014-02-05T00:00:00"/>
    <n v="7.9055555555555559"/>
    <n v="41675"/>
    <n v="7.9055555555555559"/>
    <m/>
    <x v="0"/>
    <m/>
    <n v="36.394285714285715"/>
    <n v="50952"/>
    <n v="200"/>
    <n v="7"/>
    <n v="1"/>
    <n v="50952"/>
    <s v="Smithland Elementary"/>
    <s v="Fifth Grade Teacher"/>
    <m/>
    <n v="48500"/>
    <n v="56816"/>
    <n v="65132"/>
  </r>
  <r>
    <s v="Barge"/>
    <s v="Nathan"/>
    <n v="10238"/>
    <d v="2004-04-27T00:00:00"/>
    <n v="17.677777777777777"/>
    <n v="38104"/>
    <n v="17.677777777777777"/>
    <m/>
    <x v="0"/>
    <m/>
    <n v="50.484761904761911"/>
    <n v="53009"/>
    <n v="200"/>
    <n v="5.25"/>
    <n v="0.75"/>
    <n v="70678.666666666672"/>
    <s v="Harrisonburg High"/>
    <s v="Home School Liaison"/>
    <m/>
    <n v="48500"/>
    <n v="56816"/>
    <n v="65132"/>
  </r>
  <r>
    <s v="Barker"/>
    <s v="Leah"/>
    <n v="12088"/>
    <d v="2011-08-15T00:00:00"/>
    <n v="10.377777777777778"/>
    <n v="40770"/>
    <n v="10.377777777777778"/>
    <m/>
    <x v="0"/>
    <m/>
    <n v="37.951428571428572"/>
    <n v="53132"/>
    <n v="200"/>
    <n v="7"/>
    <n v="1"/>
    <n v="53132"/>
    <s v="Thomas Harrison Middle"/>
    <s v="Social Studies Teacher"/>
    <m/>
    <n v="48500"/>
    <n v="56816"/>
    <n v="65132"/>
  </r>
  <r>
    <s v="Barnard"/>
    <s v="Kendra"/>
    <n v="14486"/>
    <d v="2019-08-12T00:00:00"/>
    <n v="2.3861111111111111"/>
    <n v="43689"/>
    <n v="2.3861111111111111"/>
    <m/>
    <x v="0"/>
    <m/>
    <n v="35.007857142857141"/>
    <n v="49011"/>
    <n v="200"/>
    <n v="7"/>
    <n v="1"/>
    <n v="49011"/>
    <s v="Keister Elementary"/>
    <s v="Third Grade Teacher"/>
    <m/>
    <n v="48500"/>
    <n v="56816"/>
    <n v="65132"/>
  </r>
  <r>
    <s v="Barr"/>
    <s v="Tracey"/>
    <n v="10086"/>
    <d v="2002-06-20T00:00:00"/>
    <n v="19.530555555555555"/>
    <n v="37427"/>
    <n v="19.530555555555555"/>
    <m/>
    <x v="0"/>
    <m/>
    <n v="40.692857142857143"/>
    <n v="56970"/>
    <n v="200"/>
    <n v="7"/>
    <n v="1"/>
    <n v="56970"/>
    <s v="Harrisonburg High"/>
    <s v="English Teacher"/>
    <m/>
    <n v="48500"/>
    <n v="56816"/>
    <n v="65132"/>
  </r>
  <r>
    <s v="Bass"/>
    <s v="Kelsey"/>
    <n v="12196"/>
    <d v="2012-01-18T00:00:00"/>
    <n v="9.9527777777777775"/>
    <n v="40926"/>
    <n v="9.9527777777777775"/>
    <m/>
    <x v="0"/>
    <m/>
    <n v="37.562142857142859"/>
    <n v="52587"/>
    <n v="200"/>
    <n v="7"/>
    <n v="1"/>
    <n v="52587"/>
    <s v="Harrisonburg High"/>
    <s v="Special Education Teacher"/>
    <m/>
    <n v="48500"/>
    <n v="56816"/>
    <n v="65132"/>
  </r>
  <r>
    <s v="Bassell"/>
    <s v="Katherine"/>
    <n v="15019"/>
    <d v="2021-04-21T00:00:00"/>
    <n v="0.69444444444444442"/>
    <n v="44307"/>
    <n v="0.69444444444444442"/>
    <m/>
    <x v="0"/>
    <m/>
    <n v="34.642857142857146"/>
    <n v="48500"/>
    <n v="200"/>
    <n v="7"/>
    <n v="1"/>
    <n v="48500"/>
    <s v="Skyline Middle School"/>
    <s v="Sixth Grade English Teacher"/>
    <m/>
    <n v="48500"/>
    <n v="56816"/>
    <n v="65132"/>
  </r>
  <r>
    <s v="Batdorf"/>
    <s v="Hannah"/>
    <n v="14224"/>
    <d v="2018-08-13T00:00:00"/>
    <n v="3.3833333333333333"/>
    <n v="43325"/>
    <n v="3.3833333333333333"/>
    <m/>
    <x v="0"/>
    <m/>
    <n v="36.119999999999997"/>
    <n v="50568"/>
    <n v="200"/>
    <n v="7"/>
    <n v="1"/>
    <n v="50568"/>
    <s v="Waterman Elementary"/>
    <s v="Fourth Grade Teacher"/>
    <m/>
    <n v="48500"/>
    <n v="56816"/>
    <n v="65132"/>
  </r>
  <r>
    <s v="Baugher"/>
    <s v="Jamie"/>
    <n v="12565"/>
    <d v="2013-08-13T00:00:00"/>
    <n v="8.3833333333333329"/>
    <n v="41499"/>
    <n v="8.3833333333333329"/>
    <m/>
    <x v="0"/>
    <m/>
    <n v="37.951700680272104"/>
    <n v="55789"/>
    <n v="210"/>
    <n v="7"/>
    <n v="1"/>
    <n v="55789"/>
    <s v="Spotswood Elementary"/>
    <s v="Media Specialist (Librarian)"/>
    <m/>
    <n v="48500"/>
    <n v="56816"/>
    <n v="65132"/>
  </r>
  <r>
    <s v="Baughman"/>
    <s v="Rebekah"/>
    <n v="14881"/>
    <d v="2020-08-12T00:00:00"/>
    <n v="1.3861111111111111"/>
    <n v="44055"/>
    <n v="1.3861111111111111"/>
    <m/>
    <x v="0"/>
    <m/>
    <n v="36.780714285714282"/>
    <n v="51493"/>
    <n v="200"/>
    <n v="7"/>
    <n v="1"/>
    <n v="51493"/>
    <s v="Spotswood Elementary"/>
    <s v="Third Grade Teacher"/>
    <m/>
    <n v="48500"/>
    <n v="56816"/>
    <n v="65132"/>
  </r>
  <r>
    <s v="Baylor"/>
    <s v="Angela"/>
    <n v="10274"/>
    <d v="1988-08-25T00:00:00"/>
    <n v="33.35"/>
    <n v="32380"/>
    <n v="33.35"/>
    <m/>
    <x v="0"/>
    <m/>
    <n v="51.747857142857143"/>
    <n v="72447"/>
    <n v="200"/>
    <n v="7"/>
    <n v="1"/>
    <n v="72447"/>
    <s v="Keister Elementary"/>
    <s v="Developmental Reading Teacher"/>
    <m/>
    <n v="48500"/>
    <n v="56816"/>
    <n v="65132"/>
  </r>
  <r>
    <s v="Beers"/>
    <s v="Colin"/>
    <n v="12569"/>
    <d v="2013-08-13T00:00:00"/>
    <n v="8.3833333333333329"/>
    <n v="41499"/>
    <n v="8.3833333333333329"/>
    <m/>
    <x v="0"/>
    <m/>
    <n v="39.901428571428575"/>
    <n v="55862"/>
    <n v="200"/>
    <n v="7"/>
    <n v="1"/>
    <n v="55862"/>
    <s v="Harrisonburg High"/>
    <s v="Biology Teacher"/>
    <m/>
    <n v="48500"/>
    <n v="56816"/>
    <n v="65132"/>
  </r>
  <r>
    <s v="Beheraj"/>
    <s v="Anuradha"/>
    <n v="10542"/>
    <d v="2001-08-20T00:00:00"/>
    <n v="20.363888888888887"/>
    <n v="37123"/>
    <n v="20.363888888888887"/>
    <m/>
    <x v="0"/>
    <m/>
    <n v="39.035000000000004"/>
    <n v="54649"/>
    <n v="200"/>
    <n v="7"/>
    <n v="1"/>
    <n v="54649"/>
    <s v="Harrisonburg High"/>
    <s v="ESL Specialist"/>
    <m/>
    <n v="48500"/>
    <n v="56816"/>
    <n v="65132"/>
  </r>
  <r>
    <s v="Bendfeldt"/>
    <s v="Mary"/>
    <n v="10543"/>
    <d v="2003-08-13T00:00:00"/>
    <n v="18.383333333333333"/>
    <n v="37846"/>
    <n v="18.383333333333333"/>
    <m/>
    <x v="0"/>
    <m/>
    <n v="39.901428571428575"/>
    <n v="55862"/>
    <n v="200"/>
    <n v="7"/>
    <n v="1"/>
    <n v="55862"/>
    <s v="Bluestone Elementary"/>
    <s v="Reading Specialist"/>
    <m/>
    <n v="48500"/>
    <n v="56816"/>
    <n v="65132"/>
  </r>
  <r>
    <s v="Benjamin"/>
    <s v="Frances"/>
    <n v="10433"/>
    <d v="2001-08-15T00:00:00"/>
    <n v="20.377777777777776"/>
    <n v="37118"/>
    <n v="20.377777777777776"/>
    <m/>
    <x v="0"/>
    <m/>
    <n v="48.181428571428569"/>
    <n v="67454"/>
    <n v="200"/>
    <n v="7"/>
    <n v="1"/>
    <n v="67454"/>
    <s v="Stone Spring Elementary"/>
    <s v="ESL Specialist"/>
    <m/>
    <n v="48500"/>
    <n v="56816"/>
    <n v="65132"/>
  </r>
  <r>
    <s v="Bennett"/>
    <s v="Michelle"/>
    <n v="11303"/>
    <d v="2008-08-13T00:00:00"/>
    <n v="13.383333333333333"/>
    <n v="39673"/>
    <n v="13.383333333333333"/>
    <m/>
    <x v="0"/>
    <m/>
    <n v="39.50714285714286"/>
    <n v="55310"/>
    <n v="200"/>
    <n v="7"/>
    <n v="1"/>
    <n v="55310"/>
    <s v="Stone Spring Elementary"/>
    <s v="Special Education Teacher"/>
    <m/>
    <n v="48500"/>
    <n v="56816"/>
    <n v="65132"/>
  </r>
  <r>
    <s v="Benze"/>
    <s v="Rachael"/>
    <n v="14926"/>
    <d v="2020-09-21T00:00:00"/>
    <n v="1.2777777777777777"/>
    <n v="44095"/>
    <n v="1.2777777777777777"/>
    <m/>
    <x v="0"/>
    <m/>
    <n v="34.642857142857146"/>
    <n v="48500"/>
    <n v="200"/>
    <n v="7"/>
    <n v="1"/>
    <n v="48500"/>
    <s v="Stone Spring Elementary"/>
    <s v="SPED Teacher"/>
    <m/>
    <n v="48500"/>
    <n v="56816"/>
    <n v="65132"/>
  </r>
  <r>
    <s v="Beppler"/>
    <s v="Joseph"/>
    <n v="10088"/>
    <d v="2005-08-11T00:00:00"/>
    <n v="16.388888888888889"/>
    <n v="38575"/>
    <n v="16.388888888888889"/>
    <m/>
    <x v="0"/>
    <m/>
    <n v="39.035000000000004"/>
    <n v="54649"/>
    <n v="200"/>
    <n v="7"/>
    <n v="1"/>
    <n v="54649"/>
    <s v="Harrisonburg High"/>
    <s v="English Teacher"/>
    <m/>
    <n v="48500"/>
    <n v="56816"/>
    <n v="65132"/>
  </r>
  <r>
    <s v="Berg"/>
    <s v="Tiffany"/>
    <n v="13629"/>
    <d v="2016-08-15T00:00:00"/>
    <n v="5.3777777777777782"/>
    <n v="42597"/>
    <n v="5.3777777777777782"/>
    <m/>
    <x v="0"/>
    <m/>
    <n v="35.952857142857141"/>
    <n v="50334"/>
    <n v="200"/>
    <n v="7"/>
    <n v="1"/>
    <n v="50334"/>
    <s v="Spotswood Elementary"/>
    <s v="First Grade Teacher"/>
    <m/>
    <n v="48500"/>
    <n v="56816"/>
    <n v="65132"/>
  </r>
  <r>
    <s v="Berkeley"/>
    <s v="Seth"/>
    <n v="11855"/>
    <d v="2010-10-06T00:00:00"/>
    <n v="11.236111111111111"/>
    <n v="40457"/>
    <n v="11.236111111111111"/>
    <m/>
    <x v="0"/>
    <m/>
    <n v="37.951428571428572"/>
    <n v="53132"/>
    <n v="200"/>
    <n v="7"/>
    <n v="1"/>
    <n v="53132"/>
    <s v="Harrisonburg High"/>
    <s v="Physics Teacher"/>
    <m/>
    <n v="48500"/>
    <n v="56816"/>
    <n v="65132"/>
  </r>
  <r>
    <s v="Berns"/>
    <s v="Lacey"/>
    <n v="12778"/>
    <d v="2014-06-24T00:00:00"/>
    <n v="7.5194444444444448"/>
    <n v="41814"/>
    <n v="7.5194444444444448"/>
    <m/>
    <x v="0"/>
    <m/>
    <n v="36.780714285714282"/>
    <n v="51493"/>
    <n v="200"/>
    <n v="7"/>
    <n v="1"/>
    <n v="51493"/>
    <s v="Keister Elementary"/>
    <s v="Early Childhood SPED Teacher"/>
    <m/>
    <n v="48500"/>
    <n v="56816"/>
    <n v="65132"/>
  </r>
  <r>
    <s v="Billings"/>
    <s v="Aaron"/>
    <n v="13807"/>
    <d v="2017-07-17T00:00:00"/>
    <n v="4.4555555555555557"/>
    <n v="42933"/>
    <n v="4.4555555555555557"/>
    <m/>
    <x v="0"/>
    <m/>
    <n v="35.597857142857144"/>
    <n v="49837"/>
    <n v="200"/>
    <n v="7"/>
    <n v="1"/>
    <n v="49837"/>
    <s v="Smithland Elementary"/>
    <s v="Fifth Grade Teacher"/>
    <m/>
    <n v="48500"/>
    <n v="56816"/>
    <n v="65132"/>
  </r>
  <r>
    <s v="Billings"/>
    <s v="Maria"/>
    <n v="11939"/>
    <d v="2011-02-02T00:00:00"/>
    <n v="10.91388888888889"/>
    <n v="40576"/>
    <n v="10.91388888888889"/>
    <m/>
    <x v="0"/>
    <m/>
    <n v="37.562142857142859"/>
    <n v="52587"/>
    <n v="200"/>
    <n v="7"/>
    <n v="1"/>
    <n v="52587"/>
    <s v="Smithland Elementary"/>
    <s v="Second Grade Teacher"/>
    <m/>
    <n v="48500"/>
    <n v="56816"/>
    <n v="65132"/>
  </r>
  <r>
    <s v="Bishop"/>
    <s v="Megan"/>
    <n v="14254"/>
    <d v="2018-06-06T00:00:00"/>
    <n v="3.5694444444444446"/>
    <n v="43257"/>
    <n v="3.5694444444444446"/>
    <m/>
    <x v="0"/>
    <m/>
    <n v="35.25"/>
    <n v="49350"/>
    <n v="200"/>
    <n v="7"/>
    <n v="1"/>
    <n v="49350"/>
    <s v="Smithland Elementary"/>
    <s v="Third Grade Teacher"/>
    <m/>
    <n v="48500"/>
    <n v="56816"/>
    <n v="65132"/>
  </r>
  <r>
    <s v="Black"/>
    <s v="Dana"/>
    <n v="11083"/>
    <d v="2001-08-20T00:00:00"/>
    <n v="20.363888888888887"/>
    <n v="37123"/>
    <n v="20.363888888888887"/>
    <m/>
    <x v="0"/>
    <m/>
    <n v="40.299285714285716"/>
    <n v="56419"/>
    <n v="200"/>
    <n v="7"/>
    <n v="1"/>
    <n v="56419"/>
    <s v="Stone Spring Elementary"/>
    <s v="Fifth Grade Teacher"/>
    <m/>
    <n v="48500"/>
    <n v="56816"/>
    <n v="65132"/>
  </r>
  <r>
    <s v="Blair Ii"/>
    <s v="Charles"/>
    <n v="11255"/>
    <d v="2008-08-13T00:00:00"/>
    <n v="13.383333333333333"/>
    <n v="39673"/>
    <n v="13.383333333333333"/>
    <m/>
    <x v="0"/>
    <m/>
    <n v="40.692857142857143"/>
    <n v="56970"/>
    <n v="200"/>
    <n v="7"/>
    <n v="1"/>
    <n v="56970"/>
    <s v="Harrisonburg High"/>
    <s v="Social Studies Teacher"/>
    <m/>
    <n v="48500"/>
    <n v="56816"/>
    <n v="65132"/>
  </r>
  <r>
    <s v="Blake"/>
    <s v="Samantha"/>
    <n v="13172"/>
    <d v="2015-06-02T00:00:00"/>
    <n v="6.5805555555555557"/>
    <n v="42157"/>
    <n v="6.5805555555555557"/>
    <m/>
    <x v="0"/>
    <m/>
    <n v="34.865000000000002"/>
    <n v="48811"/>
    <n v="200"/>
    <n v="7"/>
    <n v="1"/>
    <n v="48811"/>
    <s v="Bluestone Elementary"/>
    <s v="Fifth Grade Teacher"/>
    <m/>
    <n v="48500"/>
    <n v="56816"/>
    <n v="65132"/>
  </r>
  <r>
    <s v="Blankenship"/>
    <s v="Vickie"/>
    <n v="12423"/>
    <d v="2012-10-02T00:00:00"/>
    <n v="9.2472222222222218"/>
    <n v="41184"/>
    <n v="9.2472222222222218"/>
    <m/>
    <x v="0"/>
    <m/>
    <n v="36.119999999999997"/>
    <n v="50568"/>
    <n v="200"/>
    <n v="7"/>
    <n v="1"/>
    <n v="50568"/>
    <s v="Spotswood Elementary"/>
    <s v="SPED Teacher"/>
    <m/>
    <n v="48500"/>
    <n v="56816"/>
    <n v="65132"/>
  </r>
  <r>
    <s v="Blosser"/>
    <s v="Myron"/>
    <n v="11767"/>
    <d v="2010-06-20T00:00:00"/>
    <n v="11.530555555555555"/>
    <n v="40349"/>
    <n v="11.530555555555555"/>
    <m/>
    <x v="1"/>
    <m/>
    <n v="53.408000000000001"/>
    <n v="100140"/>
    <n v="250"/>
    <n v="7.5"/>
    <n v="1"/>
    <n v="100140"/>
    <s v="Harrisonburg High"/>
    <s v="STEM Coordinator/Lead Teacher"/>
    <m/>
    <n v="72151"/>
    <n v="85836"/>
    <n v="99521"/>
  </r>
  <r>
    <s v="Bollinger"/>
    <s v="Kimberly"/>
    <n v="10769"/>
    <d v="2005-10-15T00:00:00"/>
    <n v="16.211111111111112"/>
    <n v="38640"/>
    <n v="16.211111111111112"/>
    <m/>
    <x v="0"/>
    <m/>
    <n v="40.299285714285716"/>
    <n v="56419"/>
    <n v="200"/>
    <n v="7"/>
    <n v="1"/>
    <n v="56419"/>
    <s v="Waterman Elementary"/>
    <s v="Special Education Teacher"/>
    <m/>
    <n v="48500"/>
    <n v="56816"/>
    <n v="65132"/>
  </r>
  <r>
    <s v="Bolyard"/>
    <s v="Rachel"/>
    <n v="10092"/>
    <d v="1995-08-22T00:00:00"/>
    <n v="26.358333333333334"/>
    <n v="34933"/>
    <n v="26.358333333333334"/>
    <m/>
    <x v="0"/>
    <m/>
    <n v="43.600714285714282"/>
    <n v="61041"/>
    <n v="200"/>
    <n v="7"/>
    <n v="1"/>
    <n v="61041"/>
    <s v="Harrisonburg High"/>
    <s v="Special Education Teacher"/>
    <m/>
    <n v="48500"/>
    <n v="56816"/>
    <n v="65132"/>
  </r>
  <r>
    <s v="Bontrager"/>
    <s v="Burdette"/>
    <n v="10544"/>
    <d v="1992-08-27T00:00:00"/>
    <n v="29.344444444444445"/>
    <n v="33843"/>
    <n v="29.344444444444445"/>
    <m/>
    <x v="0"/>
    <m/>
    <n v="52.782857142857146"/>
    <n v="73896"/>
    <n v="200"/>
    <n v="7"/>
    <n v="1"/>
    <n v="73896"/>
    <s v="Stone Spring Elementary"/>
    <s v="Fifth Grade Teacher"/>
    <m/>
    <n v="48500"/>
    <n v="56816"/>
    <n v="65132"/>
  </r>
  <r>
    <s v="Borg"/>
    <s v="Jere"/>
    <n v="10093"/>
    <d v="2001-08-15T00:00:00"/>
    <n v="20.377777777777776"/>
    <n v="37118"/>
    <n v="20.377777777777776"/>
    <m/>
    <x v="0"/>
    <m/>
    <n v="41.007857142857141"/>
    <n v="57411"/>
    <n v="200"/>
    <n v="7"/>
    <n v="1"/>
    <n v="57411"/>
    <s v="Harrisonburg High"/>
    <s v="Social Studies Teacher"/>
    <m/>
    <n v="48500"/>
    <n v="56816"/>
    <n v="65132"/>
  </r>
  <r>
    <s v="Boronat Garcia"/>
    <s v="Jordi"/>
    <n v="13799"/>
    <d v="2017-07-01T00:00:00"/>
    <n v="4.5"/>
    <n v="42917"/>
    <n v="4.5"/>
    <m/>
    <x v="0"/>
    <m/>
    <n v="34.642857142857146"/>
    <n v="48500"/>
    <n v="200"/>
    <n v="7"/>
    <n v="1"/>
    <n v="48500"/>
    <s v="Thomas Harrison Middle"/>
    <s v="Civics Teacher"/>
    <m/>
    <n v="48500"/>
    <n v="56816"/>
    <n v="65132"/>
  </r>
  <r>
    <s v="Boronat Garcia"/>
    <s v="Kimberly"/>
    <n v="11595"/>
    <d v="2009-08-19T00:00:00"/>
    <n v="12.366666666666667"/>
    <n v="40044"/>
    <n v="12.366666666666667"/>
    <m/>
    <x v="0"/>
    <m/>
    <n v="37.562142857142859"/>
    <n v="52587"/>
    <n v="200"/>
    <n v="7"/>
    <n v="1"/>
    <n v="52587"/>
    <s v="Bluestone Elementary"/>
    <s v="ESL Specialist"/>
    <m/>
    <n v="48500"/>
    <n v="56816"/>
    <n v="65132"/>
  </r>
  <r>
    <s v="Boshart"/>
    <s v="Jacquelyn"/>
    <n v="11772"/>
    <d v="2010-06-17T00:00:00"/>
    <n v="11.53888888888889"/>
    <n v="40346"/>
    <n v="11.53888888888889"/>
    <m/>
    <x v="0"/>
    <m/>
    <n v="36.119999999999997"/>
    <n v="50568"/>
    <n v="200"/>
    <n v="7"/>
    <n v="1"/>
    <n v="50568"/>
    <s v="Elon Rhodes"/>
    <s v="VPI Teacher"/>
    <m/>
    <n v="48500"/>
    <n v="56816"/>
    <n v="65132"/>
  </r>
  <r>
    <s v="Bowman"/>
    <s v="Hannah"/>
    <n v="12331"/>
    <d v="2012-08-14T00:00:00"/>
    <n v="9.3805555555555564"/>
    <n v="41135"/>
    <n v="9.3805555555555564"/>
    <m/>
    <x v="0"/>
    <m/>
    <n v="37.562142857142859"/>
    <n v="52587"/>
    <n v="200"/>
    <n v="7"/>
    <n v="1"/>
    <n v="52587"/>
    <s v="Harrisonburg High"/>
    <s v="English Teacher"/>
    <m/>
    <n v="48500"/>
    <n v="56816"/>
    <n v="65132"/>
  </r>
  <r>
    <s v="Box"/>
    <s v="Kate"/>
    <n v="12793"/>
    <d v="2014-08-11T00:00:00"/>
    <n v="7.3888888888888893"/>
    <n v="41862"/>
    <n v="7.3888888888888893"/>
    <m/>
    <x v="0"/>
    <m/>
    <n v="38.890714285714289"/>
    <n v="54447"/>
    <n v="200"/>
    <n v="7"/>
    <n v="1"/>
    <n v="54447"/>
    <s v="Skyline Middle"/>
    <s v="Math Teacher"/>
    <m/>
    <n v="48500"/>
    <n v="56816"/>
    <n v="65132"/>
  </r>
  <r>
    <s v="Brandmark"/>
    <s v="Allison"/>
    <n v="13712"/>
    <d v="2017-02-08T00:00:00"/>
    <n v="4.8972222222222221"/>
    <n v="42774"/>
    <n v="4.8972222222222221"/>
    <m/>
    <x v="0"/>
    <m/>
    <n v="35.597857142857144"/>
    <n v="49837"/>
    <n v="200"/>
    <n v="7"/>
    <n v="1"/>
    <n v="49837"/>
    <s v="Bluestone Elementary"/>
    <s v="SPED Teacher"/>
    <m/>
    <n v="48500"/>
    <n v="56816"/>
    <n v="65132"/>
  </r>
  <r>
    <s v="Branum"/>
    <s v="Nicole"/>
    <n v="12836"/>
    <d v="2014-08-11T00:00:00"/>
    <n v="7.3888888888888893"/>
    <n v="41862"/>
    <n v="7.3888888888888893"/>
    <m/>
    <x v="0"/>
    <m/>
    <n v="40.692857142857143"/>
    <n v="56970"/>
    <n v="200"/>
    <n v="7"/>
    <n v="1"/>
    <n v="56970"/>
    <s v="Skyline Middle"/>
    <s v="Computer Teacher"/>
    <m/>
    <n v="48500"/>
    <n v="56816"/>
    <n v="65132"/>
  </r>
  <r>
    <s v="Braun"/>
    <s v="Jennifer"/>
    <n v="10812"/>
    <d v="2006-08-09T00:00:00"/>
    <n v="15.394444444444444"/>
    <n v="38938"/>
    <n v="15.394444444444444"/>
    <m/>
    <x v="0"/>
    <m/>
    <n v="39.901428571428575"/>
    <n v="27931"/>
    <n v="200"/>
    <n v="3.5"/>
    <n v="0.5"/>
    <n v="55862"/>
    <s v="Thomas Harrison Middle"/>
    <s v="English Teacher"/>
    <m/>
    <n v="48500"/>
    <n v="56816"/>
    <n v="65132"/>
  </r>
  <r>
    <s v="Briggs"/>
    <s v="Angela"/>
    <n v="13616"/>
    <d v="2016-08-15T00:00:00"/>
    <n v="5.3777777777777782"/>
    <n v="42597"/>
    <n v="5.3777777777777782"/>
    <m/>
    <x v="0"/>
    <m/>
    <n v="38.890714285714289"/>
    <n v="54447"/>
    <n v="200"/>
    <n v="7"/>
    <n v="1"/>
    <n v="54447"/>
    <s v="Keister Elementary"/>
    <s v="First Grade Teacher"/>
    <m/>
    <n v="48500"/>
    <n v="56816"/>
    <n v="65132"/>
  </r>
  <r>
    <s v="Brino"/>
    <s v="Danielle"/>
    <n v="13595"/>
    <d v="2016-08-01T00:00:00"/>
    <n v="5.416666666666667"/>
    <n v="42583"/>
    <n v="5.416666666666667"/>
    <m/>
    <x v="0"/>
    <m/>
    <n v="39.696533333333335"/>
    <n v="74431"/>
    <n v="250"/>
    <n v="7.5"/>
    <n v="1"/>
    <n v="74431"/>
    <s v="Harrisonburg High"/>
    <s v="School Counseling Director"/>
    <m/>
    <n v="48500"/>
    <n v="56816"/>
    <n v="65132"/>
  </r>
  <r>
    <s v="Brooks"/>
    <s v="Jauan"/>
    <n v="10094"/>
    <d v="1995-03-27T00:00:00"/>
    <n v="26.761111111111113"/>
    <n v="34785"/>
    <n v="26.761111111111113"/>
    <m/>
    <x v="0"/>
    <m/>
    <n v="43.600714285714282"/>
    <n v="61041"/>
    <n v="200"/>
    <n v="7"/>
    <n v="1"/>
    <n v="61041"/>
    <s v="Harrisonburg High"/>
    <s v="Art Teacher"/>
    <m/>
    <n v="48500"/>
    <n v="56816"/>
    <n v="65132"/>
  </r>
  <r>
    <s v="Brown"/>
    <s v="Betty"/>
    <n v="14903"/>
    <d v="2020-08-12T00:00:00"/>
    <n v="1.3861111111111111"/>
    <n v="44055"/>
    <n v="1.3861111111111111"/>
    <m/>
    <x v="0"/>
    <m/>
    <n v="35.952857142857141"/>
    <n v="50334"/>
    <n v="200"/>
    <n v="7"/>
    <n v="1"/>
    <n v="50334"/>
    <s v="Smithland Elementary"/>
    <s v="Kindergarten Teacher"/>
    <m/>
    <n v="48500"/>
    <n v="56816"/>
    <n v="65132"/>
  </r>
  <r>
    <m/>
    <m/>
    <m/>
    <m/>
    <m/>
    <m/>
    <m/>
    <m/>
    <x v="2"/>
    <m/>
    <m/>
    <m/>
    <m/>
    <m/>
    <m/>
    <m/>
    <m/>
    <m/>
    <m/>
    <m/>
    <m/>
    <m/>
  </r>
  <r>
    <s v="Brubaker"/>
    <s v="Erin"/>
    <n v="14487"/>
    <d v="2019-08-12T00:00:00"/>
    <n v="2.3861111111111111"/>
    <n v="43689"/>
    <n v="2.3861111111111111"/>
    <m/>
    <x v="0"/>
    <m/>
    <n v="35.007857142857141"/>
    <n v="49011"/>
    <n v="200"/>
    <n v="7"/>
    <n v="1"/>
    <n v="49011"/>
    <s v="Harrisonburg High"/>
    <s v="Math Teacher"/>
    <m/>
    <n v="48500"/>
    <n v="56816"/>
    <n v="65132"/>
  </r>
  <r>
    <s v="Buenaventura Uzcategui"/>
    <s v="Daniella"/>
    <n v="14892"/>
    <d v="2020-11-04T00:00:00"/>
    <n v="1.1583333333333334"/>
    <n v="44139"/>
    <n v="1.1583333333333334"/>
    <m/>
    <x v="0"/>
    <m/>
    <n v="37.951428571428572"/>
    <n v="53132"/>
    <n v="200"/>
    <n v="7"/>
    <n v="1"/>
    <n v="53132"/>
    <s v="Spotswood Elementary"/>
    <s v="Fifth Grade Teacher"/>
    <m/>
    <n v="48500"/>
    <n v="56816"/>
    <n v="65132"/>
  </r>
  <r>
    <s v="Burgess"/>
    <s v="Stephanie"/>
    <n v="11387"/>
    <d v="2008-10-20T00:00:00"/>
    <n v="13.197222222222223"/>
    <n v="39741"/>
    <n v="13.197222222222223"/>
    <m/>
    <x v="0"/>
    <m/>
    <n v="41.482142857142854"/>
    <n v="58075"/>
    <n v="200"/>
    <n v="7"/>
    <n v="1"/>
    <n v="58075"/>
    <s v="Spotswood Elementary"/>
    <s v="Kindergarten Teacher"/>
    <m/>
    <n v="48500"/>
    <n v="56816"/>
    <n v="65132"/>
  </r>
  <r>
    <s v="Burton"/>
    <s v="Brianna"/>
    <n v="12092"/>
    <d v="2011-08-15T00:00:00"/>
    <n v="10.377777777777778"/>
    <n v="40770"/>
    <n v="10.377777777777778"/>
    <m/>
    <x v="0"/>
    <m/>
    <n v="37.951428571428572"/>
    <n v="53132"/>
    <n v="200"/>
    <n v="7"/>
    <n v="1"/>
    <n v="53132"/>
    <s v="Stone Spring Elementary"/>
    <s v="Advanced Learning/STEM Specialist"/>
    <m/>
    <n v="48500"/>
    <n v="56816"/>
    <n v="65132"/>
  </r>
  <r>
    <s v="Butler"/>
    <s v="Tanya"/>
    <n v="11228"/>
    <d v="2008-08-13T00:00:00"/>
    <n v="13.383333333333333"/>
    <n v="39673"/>
    <n v="13.383333333333333"/>
    <m/>
    <x v="1"/>
    <m/>
    <n v="40.924799999999998"/>
    <n v="76734"/>
    <n v="250"/>
    <n v="7.5"/>
    <n v="1"/>
    <n v="76734"/>
    <s v="Central Office"/>
    <s v="Literacy Coordinator"/>
    <m/>
    <n v="72151"/>
    <n v="85836"/>
    <n v="99521"/>
  </r>
  <r>
    <s v="Butler"/>
    <s v="Thomas"/>
    <n v="10096"/>
    <d v="2002-08-16T00:00:00"/>
    <n v="19.375"/>
    <n v="37484"/>
    <n v="19.375"/>
    <m/>
    <x v="0"/>
    <m/>
    <n v="40.299285714285716"/>
    <n v="56419"/>
    <n v="200"/>
    <n v="7"/>
    <n v="1"/>
    <n v="56419"/>
    <s v="Harrisonburg High"/>
    <s v="Health and PE Teacher"/>
    <m/>
    <n v="48500"/>
    <n v="56816"/>
    <n v="65132"/>
  </r>
  <r>
    <s v="Button"/>
    <s v="Joy"/>
    <n v="12042"/>
    <d v="2011-08-15T00:00:00"/>
    <n v="10.377777777777778"/>
    <n v="40770"/>
    <n v="10.377777777777778"/>
    <m/>
    <x v="0"/>
    <m/>
    <n v="37.951428571428572"/>
    <n v="53132"/>
    <n v="200"/>
    <n v="7"/>
    <n v="1"/>
    <n v="53132"/>
    <s v="Spotswood Elementary"/>
    <s v="Health and PE Teacher"/>
    <m/>
    <n v="48500"/>
    <n v="56816"/>
    <n v="65132"/>
  </r>
  <r>
    <s v="Byler"/>
    <s v="Kevin"/>
    <n v="11572"/>
    <d v="2009-08-14T00:00:00"/>
    <n v="12.380555555555556"/>
    <n v="40039"/>
    <n v="12.380555555555556"/>
    <m/>
    <x v="0"/>
    <m/>
    <n v="41.879285714285707"/>
    <n v="58631"/>
    <n v="200"/>
    <n v="7"/>
    <n v="1"/>
    <n v="58631"/>
    <s v="Waterman Elementary"/>
    <s v="Second Grade Teacher"/>
    <m/>
    <n v="48500"/>
    <n v="56816"/>
    <n v="65132"/>
  </r>
  <r>
    <s v="Caffrey"/>
    <s v="Lauren"/>
    <n v="11788"/>
    <d v="2010-08-11T00:00:00"/>
    <n v="11.388888888888889"/>
    <n v="40401"/>
    <n v="11.388888888888889"/>
    <m/>
    <x v="0"/>
    <m/>
    <n v="37.575714285714284"/>
    <n v="52606"/>
    <n v="200"/>
    <n v="7"/>
    <n v="1"/>
    <n v="52606"/>
    <s v="Waterman Elementary"/>
    <s v="Third Grade Teacher"/>
    <m/>
    <n v="48500"/>
    <n v="56816"/>
    <n v="65132"/>
  </r>
  <r>
    <s v="Calderon"/>
    <s v="Tracey"/>
    <n v="11625"/>
    <d v="2009-10-07T00:00:00"/>
    <n v="12.233333333333333"/>
    <n v="40093"/>
    <n v="12.233333333333333"/>
    <m/>
    <x v="0"/>
    <m/>
    <n v="34.865000000000002"/>
    <n v="48811"/>
    <n v="200"/>
    <n v="7"/>
    <n v="1"/>
    <n v="48811"/>
    <s v="Harrisonburg High"/>
    <s v="Personal Finance and Economics/GED Teacher"/>
    <m/>
    <n v="48500"/>
    <n v="56816"/>
    <n v="65132"/>
  </r>
  <r>
    <s v="Campbell"/>
    <s v="Crystal"/>
    <n v="12098"/>
    <d v="2011-08-18T00:00:00"/>
    <n v="10.369444444444444"/>
    <n v="40773"/>
    <n v="10.369444444444444"/>
    <m/>
    <x v="0"/>
    <m/>
    <n v="41.482142857142854"/>
    <n v="58075"/>
    <n v="200"/>
    <n v="7"/>
    <n v="1"/>
    <n v="58075"/>
    <s v="Thomas Harrison Middle"/>
    <s v="Science Teacher"/>
    <m/>
    <n v="48500"/>
    <n v="56816"/>
    <n v="65132"/>
  </r>
  <r>
    <s v="Campillo"/>
    <s v="Tonia"/>
    <n v="11670"/>
    <d v="2009-12-04T00:00:00"/>
    <n v="12.074999999999999"/>
    <n v="40151"/>
    <n v="12.074999999999999"/>
    <m/>
    <x v="0"/>
    <m/>
    <n v="37.951428571428572"/>
    <n v="53132"/>
    <n v="200"/>
    <n v="7"/>
    <n v="1"/>
    <n v="53132"/>
    <s v="Spotswood Elementary"/>
    <s v="Advanced Learning/STEM Specialist"/>
    <m/>
    <n v="48500"/>
    <n v="56816"/>
    <n v="65132"/>
  </r>
  <r>
    <s v="Camunas"/>
    <s v="Daniel"/>
    <n v="14071"/>
    <d v="2018-02-06T00:00:00"/>
    <n v="3.9027777777777777"/>
    <n v="43137"/>
    <n v="3.9027777777777777"/>
    <m/>
    <x v="0"/>
    <m/>
    <n v="35.952857142857141"/>
    <n v="50334"/>
    <n v="200"/>
    <n v="7"/>
    <n v="1"/>
    <n v="50334"/>
    <s v="Central Office"/>
    <s v="Behavior Specialist"/>
    <m/>
    <n v="48500"/>
    <n v="56816"/>
    <n v="65132"/>
  </r>
  <r>
    <s v="Camunas"/>
    <s v="Eva"/>
    <n v="14947"/>
    <d v="2021-01-04T00:00:00"/>
    <n v="0.9916666666666667"/>
    <n v="44200"/>
    <n v="0.9916666666666667"/>
    <m/>
    <x v="0"/>
    <m/>
    <n v="34.865000000000002"/>
    <n v="48811"/>
    <n v="200"/>
    <n v="7"/>
    <n v="1"/>
    <n v="48811"/>
    <s v="Spotswood Elementary"/>
    <s v="Art Teacher"/>
    <m/>
    <n v="48500"/>
    <n v="56816"/>
    <n v="65132"/>
  </r>
  <r>
    <s v="Cantwell"/>
    <s v="Lora"/>
    <n v="13904"/>
    <d v="2017-08-21T00:00:00"/>
    <n v="4.3611111111111107"/>
    <n v="42968"/>
    <n v="4.3611111111111107"/>
    <m/>
    <x v="0"/>
    <m/>
    <n v="39.035000000000004"/>
    <n v="54649"/>
    <n v="200"/>
    <n v="7"/>
    <n v="1"/>
    <n v="54649"/>
    <s v="Harrisonburg High"/>
    <s v="Mental Health Counselor"/>
    <m/>
    <n v="48500"/>
    <n v="56816"/>
    <n v="65132"/>
  </r>
  <r>
    <s v="Carbaugh"/>
    <s v="Krystal"/>
    <n v="13184"/>
    <d v="2015-08-10T00:00:00"/>
    <n v="6.3916666666666666"/>
    <n v="42226"/>
    <n v="6.3916666666666666"/>
    <m/>
    <x v="3"/>
    <m/>
    <n v="44.150714285714287"/>
    <n v="61811"/>
    <n v="200"/>
    <n v="7"/>
    <n v="1"/>
    <n v="61811"/>
    <s v="Central Office"/>
    <s v="School Social Worker"/>
    <m/>
    <n v="68122"/>
    <n v="79259"/>
    <n v="90396"/>
  </r>
  <r>
    <s v="Cardoso Martinez"/>
    <s v="Jose"/>
    <n v="13565"/>
    <d v="2016-05-23T00:00:00"/>
    <n v="5.6055555555555552"/>
    <n v="42513"/>
    <n v="5.6055555555555552"/>
    <m/>
    <x v="0"/>
    <m/>
    <n v="35.597857142857144"/>
    <n v="49837"/>
    <n v="200"/>
    <n v="7"/>
    <n v="1"/>
    <n v="49837"/>
    <s v="Keister Elementary"/>
    <s v="Home School Liaison"/>
    <m/>
    <n v="48500"/>
    <n v="56816"/>
    <n v="65132"/>
  </r>
  <r>
    <s v="Caricofe"/>
    <s v="Brandon"/>
    <n v="14009"/>
    <d v="2017-10-10T00:00:00"/>
    <n v="4.2249999999999996"/>
    <n v="43018"/>
    <n v="4.2249999999999996"/>
    <m/>
    <x v="0"/>
    <m/>
    <n v="40.692857142857143"/>
    <n v="56970"/>
    <n v="200"/>
    <n v="7"/>
    <n v="1"/>
    <n v="56970"/>
    <s v="Keister Elementary"/>
    <s v="Fifth Grade Teacher"/>
    <m/>
    <n v="48500"/>
    <n v="56816"/>
    <n v="65132"/>
  </r>
  <r>
    <s v="Carpenter"/>
    <s v="Katerini"/>
    <n v="13886"/>
    <d v="2017-08-21T00:00:00"/>
    <n v="4.3611111111111107"/>
    <n v="42968"/>
    <n v="4.3611111111111107"/>
    <m/>
    <x v="0"/>
    <m/>
    <n v="35.597857142857144"/>
    <n v="49837"/>
    <n v="200"/>
    <n v="7"/>
    <n v="1"/>
    <n v="49837"/>
    <s v="Thomas Harrison Middle"/>
    <s v="Social Studies Teacher"/>
    <m/>
    <n v="48500"/>
    <n v="56816"/>
    <n v="65132"/>
  </r>
  <r>
    <s v="Cary"/>
    <s v="Terry"/>
    <n v="10650"/>
    <d v="1997-08-08T00:00:00"/>
    <n v="24.397222222222222"/>
    <n v="35650"/>
    <n v="24.397222222222222"/>
    <m/>
    <x v="0"/>
    <m/>
    <n v="45.785714285714285"/>
    <n v="70510"/>
    <n v="220"/>
    <n v="7"/>
    <n v="1"/>
    <n v="70510"/>
    <s v="Smithland Elementary"/>
    <s v="School Counselor"/>
    <m/>
    <n v="48500"/>
    <n v="56816"/>
    <n v="65132"/>
  </r>
  <r>
    <s v="Cessna"/>
    <s v="Gretchen"/>
    <n v="13808"/>
    <d v="2017-08-21T00:00:00"/>
    <n v="4.3611111111111107"/>
    <n v="42968"/>
    <n v="4.3611111111111107"/>
    <m/>
    <x v="0"/>
    <m/>
    <n v="41.007857142857141"/>
    <n v="57411"/>
    <n v="200"/>
    <n v="7"/>
    <n v="1"/>
    <n v="57411"/>
    <s v="Harrisonburg High"/>
    <s v="Biology Teacher"/>
    <m/>
    <n v="48500"/>
    <n v="56816"/>
    <n v="65132"/>
  </r>
  <r>
    <s v="Chase"/>
    <s v="Trevor"/>
    <n v="13809"/>
    <d v="2017-08-21T00:00:00"/>
    <n v="4.3611111111111107"/>
    <n v="42968"/>
    <n v="4.3611111111111107"/>
    <m/>
    <x v="0"/>
    <m/>
    <n v="36.394285714285715"/>
    <n v="50952"/>
    <n v="200"/>
    <n v="7"/>
    <n v="1"/>
    <n v="50952"/>
    <s v="Harrisonburg High"/>
    <s v="Biology Teacher"/>
    <m/>
    <n v="48500"/>
    <n v="56816"/>
    <n v="65132"/>
  </r>
  <r>
    <s v="Christian"/>
    <s v="Melinda"/>
    <n v="10493"/>
    <d v="2001-08-20T00:00:00"/>
    <n v="20.363888888888887"/>
    <n v="37123"/>
    <n v="20.363888888888887"/>
    <m/>
    <x v="0"/>
    <m/>
    <n v="39.901428571428575"/>
    <n v="55862"/>
    <n v="200"/>
    <n v="7"/>
    <n v="1"/>
    <n v="55862"/>
    <s v="Stone Spring Elementary"/>
    <s v="First Grade Teacher"/>
    <m/>
    <n v="48500"/>
    <n v="56816"/>
    <n v="65132"/>
  </r>
  <r>
    <s v="Church"/>
    <s v="Robin"/>
    <n v="13677"/>
    <d v="2016-08-17T00:00:00"/>
    <n v="5.3722222222222218"/>
    <n v="42599"/>
    <n v="5.3722222222222218"/>
    <m/>
    <x v="0"/>
    <m/>
    <n v="35.597857142857144"/>
    <n v="49837"/>
    <n v="200"/>
    <n v="7"/>
    <n v="1"/>
    <n v="49837"/>
    <s v="Harrisonburg High"/>
    <s v="Math Teacher"/>
    <m/>
    <n v="48500"/>
    <n v="56816"/>
    <n v="65132"/>
  </r>
  <r>
    <s v="Clifford"/>
    <s v="Jacqueline"/>
    <n v="14014"/>
    <d v="2019-03-19T00:00:00"/>
    <n v="2.7833333333333332"/>
    <n v="43543"/>
    <n v="2.7833333333333332"/>
    <m/>
    <x v="0"/>
    <m/>
    <n v="37.951428571428572"/>
    <n v="53132"/>
    <n v="200"/>
    <n v="7"/>
    <n v="1"/>
    <n v="53132"/>
    <s v="Harrisonburg High"/>
    <s v="Music Teacher"/>
    <m/>
    <n v="48500"/>
    <n v="56816"/>
    <n v="65132"/>
  </r>
  <r>
    <s v="Cloud"/>
    <s v="Patricia"/>
    <n v="10131"/>
    <d v="2004-02-25T00:00:00"/>
    <n v="17.850000000000001"/>
    <n v="38042"/>
    <n v="17.850000000000001"/>
    <m/>
    <x v="0"/>
    <m/>
    <n v="38.001428571428569"/>
    <n v="53202"/>
    <n v="200"/>
    <n v="7"/>
    <n v="1"/>
    <n v="53202"/>
    <s v="Harrisonburg High"/>
    <s v="Math Teacher"/>
    <m/>
    <n v="48500"/>
    <n v="56816"/>
    <n v="65132"/>
  </r>
  <r>
    <s v="Coiner"/>
    <s v="Carol"/>
    <n v="14350"/>
    <d v="2018-08-13T00:00:00"/>
    <n v="3.3833333333333333"/>
    <n v="43325"/>
    <n v="3.3833333333333333"/>
    <m/>
    <x v="0"/>
    <m/>
    <n v="45.055"/>
    <n v="63077"/>
    <n v="200"/>
    <n v="7"/>
    <n v="1"/>
    <n v="63077"/>
    <s v="Thomas Harrison Middle"/>
    <s v="English Teacher"/>
    <m/>
    <n v="48500"/>
    <n v="56816"/>
    <n v="65132"/>
  </r>
  <r>
    <s v="Connifey"/>
    <s v="Kendyl"/>
    <n v="13811"/>
    <d v="2017-08-21T00:00:00"/>
    <n v="4.3611111111111107"/>
    <n v="42968"/>
    <n v="4.3611111111111107"/>
    <m/>
    <x v="0"/>
    <m/>
    <n v="35.597857142857144"/>
    <n v="49837"/>
    <n v="200"/>
    <n v="7"/>
    <n v="1"/>
    <n v="49837"/>
    <s v="Bluestone Elementary"/>
    <s v="Kindergarten Teacher"/>
    <m/>
    <n v="48500"/>
    <n v="56816"/>
    <n v="65132"/>
  </r>
  <r>
    <s v="Connors"/>
    <s v="Melanie"/>
    <n v="14902"/>
    <d v="2020-08-12T00:00:00"/>
    <n v="1.3861111111111111"/>
    <n v="44055"/>
    <n v="1.3861111111111111"/>
    <m/>
    <x v="0"/>
    <m/>
    <n v="34.865000000000002"/>
    <n v="48811"/>
    <n v="200"/>
    <n v="7"/>
    <n v="1"/>
    <n v="48811"/>
    <s v="Bluestone Elementary"/>
    <s v="Art Teacher"/>
    <m/>
    <n v="48500"/>
    <n v="56816"/>
    <n v="65132"/>
  </r>
  <r>
    <s v="Conway"/>
    <s v="Erin"/>
    <n v="13189"/>
    <d v="2015-08-17T00:00:00"/>
    <n v="6.3722222222222218"/>
    <n v="42233"/>
    <n v="6.3722222222222218"/>
    <m/>
    <x v="0"/>
    <m/>
    <n v="36.394285714285715"/>
    <n v="50952"/>
    <n v="200"/>
    <n v="7"/>
    <n v="1"/>
    <n v="50952"/>
    <s v="Bluestone Elementary"/>
    <s v="Art Teacher"/>
    <m/>
    <n v="48500"/>
    <n v="56816"/>
    <n v="65132"/>
  </r>
  <r>
    <s v="Coogan"/>
    <s v="Brenna"/>
    <n v="15091"/>
    <d v="2021-06-21T00:00:00"/>
    <n v="0.52777777777777779"/>
    <n v="44368"/>
    <n v="0.52777777777777779"/>
    <m/>
    <x v="0"/>
    <m/>
    <n v="34.642857142857146"/>
    <n v="48500"/>
    <n v="200"/>
    <n v="7"/>
    <n v="1"/>
    <n v="48500"/>
    <s v="Spotswood Elementary"/>
    <s v="Kindergarten Teacher"/>
    <m/>
    <n v="48500"/>
    <n v="56816"/>
    <n v="65132"/>
  </r>
  <r>
    <s v="Copeland"/>
    <s v="Kayla"/>
    <n v="14768"/>
    <d v="2020-01-14T00:00:00"/>
    <n v="1.9638888888888888"/>
    <n v="43844"/>
    <n v="1.9638888888888888"/>
    <m/>
    <x v="0"/>
    <m/>
    <n v="34.642857142857146"/>
    <n v="48500"/>
    <n v="200"/>
    <n v="7"/>
    <n v="1"/>
    <n v="48500"/>
    <s v="Smithland Elementary"/>
    <s v="ESL Specialist"/>
    <m/>
    <n v="48500"/>
    <n v="56816"/>
    <n v="65132"/>
  </r>
  <r>
    <s v="Copley"/>
    <s v="Lori"/>
    <n v="11090"/>
    <d v="1982-10-08T00:00:00"/>
    <n v="39.230555555555554"/>
    <n v="30232"/>
    <n v="39.230555555555554"/>
    <m/>
    <x v="0"/>
    <m/>
    <n v="56.562142857142859"/>
    <n v="79187"/>
    <n v="200"/>
    <n v="7"/>
    <n v="1"/>
    <n v="79187"/>
    <s v="Waterman Elementary"/>
    <s v="Second Grade Teacher"/>
    <m/>
    <n v="48500"/>
    <n v="56816"/>
    <n v="65132"/>
  </r>
  <r>
    <s v="Corder"/>
    <s v="Gregory"/>
    <n v="10653"/>
    <d v="1997-12-08T00:00:00"/>
    <n v="24.06388888888889"/>
    <n v="35772"/>
    <n v="24.06388888888889"/>
    <m/>
    <x v="0"/>
    <m/>
    <n v="41.482142857142854"/>
    <n v="58075"/>
    <n v="200"/>
    <n v="7"/>
    <n v="1"/>
    <n v="58075"/>
    <s v="Thomas Harrison Middle"/>
    <s v="Computer Teacher"/>
    <m/>
    <n v="48500"/>
    <n v="56816"/>
    <n v="65132"/>
  </r>
  <r>
    <s v="Corriston"/>
    <s v="Amber"/>
    <n v="12598"/>
    <d v="2013-08-13T00:00:00"/>
    <n v="8.3833333333333329"/>
    <n v="41499"/>
    <n v="8.3833333333333329"/>
    <m/>
    <x v="0"/>
    <m/>
    <n v="37.172142857142852"/>
    <n v="52041"/>
    <n v="200"/>
    <n v="7"/>
    <n v="1"/>
    <n v="52041"/>
    <s v="Harrisonburg High"/>
    <s v="Dance Teacher"/>
    <m/>
    <n v="48500"/>
    <n v="56816"/>
    <n v="65132"/>
  </r>
  <r>
    <s v="Cosner"/>
    <s v="Aaron"/>
    <n v="12593"/>
    <d v="2013-08-13T00:00:00"/>
    <n v="8.3833333333333329"/>
    <n v="41499"/>
    <n v="8.3833333333333329"/>
    <m/>
    <x v="0"/>
    <m/>
    <n v="37.562142857142859"/>
    <n v="52587"/>
    <n v="200"/>
    <n v="7"/>
    <n v="1"/>
    <n v="52587"/>
    <s v="Harrisonburg High"/>
    <s v="English Teacher"/>
    <m/>
    <n v="48500"/>
    <n v="56816"/>
    <n v="65132"/>
  </r>
  <r>
    <s v="Courter"/>
    <s v="Mason"/>
    <n v="15119"/>
    <d v="2021-08-04T00:00:00"/>
    <n v="0.40833333333333333"/>
    <n v="44412"/>
    <n v="0.40833333333333333"/>
    <m/>
    <x v="0"/>
    <m/>
    <n v="34.642857142857146"/>
    <n v="48500"/>
    <n v="200"/>
    <n v="7"/>
    <n v="1"/>
    <n v="48500"/>
    <s v="Harrisonburg High"/>
    <s v="SPED Teacher"/>
    <m/>
    <n v="48500"/>
    <n v="56816"/>
    <n v="65132"/>
  </r>
  <r>
    <s v="Crowder"/>
    <s v="Diana"/>
    <n v="13456"/>
    <d v="2016-02-03T00:00:00"/>
    <n v="5.9111111111111114"/>
    <n v="42403"/>
    <n v="5.9111111111111114"/>
    <m/>
    <x v="0"/>
    <m/>
    <n v="39.035000000000004"/>
    <n v="54649"/>
    <n v="200"/>
    <n v="7"/>
    <n v="1"/>
    <n v="54649"/>
    <s v="Stone Spring Elementary"/>
    <s v="Fourth Grade Teacher"/>
    <m/>
    <n v="48500"/>
    <n v="56816"/>
    <n v="65132"/>
  </r>
  <r>
    <s v="Cruse"/>
    <s v="Beth"/>
    <n v="11585"/>
    <d v="2009-08-17T00:00:00"/>
    <n v="12.372222222222222"/>
    <n v="40042"/>
    <n v="12.372222222222222"/>
    <m/>
    <x v="0"/>
    <m/>
    <n v="41.879285714285707"/>
    <n v="58631"/>
    <n v="200"/>
    <n v="7"/>
    <n v="1"/>
    <n v="58631"/>
    <s v="Stone Spring Elementary"/>
    <s v="Fourth Grade Teacher"/>
    <m/>
    <n v="48500"/>
    <n v="56816"/>
    <n v="65132"/>
  </r>
  <r>
    <s v="Cruse"/>
    <s v="Rachel"/>
    <n v="14253"/>
    <d v="2018-08-13T00:00:00"/>
    <n v="3.3833333333333333"/>
    <n v="43325"/>
    <n v="3.3833333333333333"/>
    <m/>
    <x v="0"/>
    <m/>
    <n v="35.25"/>
    <n v="49350"/>
    <n v="200"/>
    <n v="7"/>
    <n v="1"/>
    <n v="49350"/>
    <s v="Stone Spring Elementary"/>
    <s v="Fifth Grade Teacher"/>
    <m/>
    <n v="48500"/>
    <n v="56816"/>
    <n v="65132"/>
  </r>
  <r>
    <s v="Cullip"/>
    <s v="Megan"/>
    <n v="13643"/>
    <d v="2017-01-03T00:00:00"/>
    <n v="4.9944444444444445"/>
    <n v="42738"/>
    <n v="4.9944444444444445"/>
    <m/>
    <x v="0"/>
    <m/>
    <n v="35.597857142857144"/>
    <n v="49837"/>
    <n v="200"/>
    <n v="7"/>
    <n v="1"/>
    <n v="49837"/>
    <s v="Harrisonburg High"/>
    <s v="English Teacher"/>
    <m/>
    <n v="48500"/>
    <n v="56816"/>
    <n v="65132"/>
  </r>
  <r>
    <s v="Cummings"/>
    <s v="Tricia"/>
    <n v="10102"/>
    <d v="2000-07-17T00:00:00"/>
    <n v="21.455555555555556"/>
    <n v="36724"/>
    <n v="21.455555555555556"/>
    <m/>
    <x v="0"/>
    <m/>
    <n v="43.383116883116884"/>
    <n v="66810"/>
    <n v="220"/>
    <n v="7"/>
    <n v="1"/>
    <n v="66810"/>
    <s v="Harrisonburg High"/>
    <s v="CTE/STEM Health/Medical Sciences Teacher"/>
    <m/>
    <n v="48500"/>
    <n v="56816"/>
    <n v="65132"/>
  </r>
  <r>
    <s v="Dameron"/>
    <s v="Barbara"/>
    <n v="10280"/>
    <d v="2002-08-16T00:00:00"/>
    <n v="19.375"/>
    <n v="37484"/>
    <n v="19.375"/>
    <m/>
    <x v="0"/>
    <m/>
    <n v="41.008163265306123"/>
    <n v="60282"/>
    <n v="210"/>
    <n v="7"/>
    <n v="1"/>
    <n v="60282"/>
    <s v="Keister Elementary"/>
    <s v="Media Specialist (Librarian)"/>
    <m/>
    <n v="48500"/>
    <n v="56816"/>
    <n v="65132"/>
  </r>
  <r>
    <s v="Dameron"/>
    <s v="Jennifer"/>
    <n v="11766"/>
    <d v="2010-08-13T00:00:00"/>
    <n v="11.383333333333333"/>
    <n v="40403"/>
    <n v="11.383333333333333"/>
    <m/>
    <x v="0"/>
    <m/>
    <n v="37.951428571428572"/>
    <n v="53132"/>
    <n v="200"/>
    <n v="7"/>
    <n v="1"/>
    <n v="53132"/>
    <s v="Spotswood Elementary"/>
    <s v="Instructional Coach"/>
    <m/>
    <n v="48500"/>
    <n v="56816"/>
    <n v="65132"/>
  </r>
  <r>
    <s v="Daniel"/>
    <s v="Amanda"/>
    <n v="14873"/>
    <d v="2020-08-12T00:00:00"/>
    <n v="1.3861111111111111"/>
    <n v="44055"/>
    <n v="1.3861111111111111"/>
    <m/>
    <x v="0"/>
    <m/>
    <n v="38.431428571428569"/>
    <n v="53804"/>
    <n v="200"/>
    <n v="7"/>
    <n v="1"/>
    <n v="53804"/>
    <s v="Waterman Elementary"/>
    <s v="Second Grade Teacher"/>
    <m/>
    <n v="48500"/>
    <n v="56816"/>
    <n v="65132"/>
  </r>
  <r>
    <s v="Daniels"/>
    <s v="Lana"/>
    <n v="12387"/>
    <d v="2012-08-29T00:00:00"/>
    <n v="9.3388888888888886"/>
    <n v="41150"/>
    <n v="9.3388888888888886"/>
    <m/>
    <x v="0"/>
    <m/>
    <n v="37.575714285714284"/>
    <n v="52606"/>
    <n v="200"/>
    <n v="7"/>
    <n v="1"/>
    <n v="52606"/>
    <s v="Skyline Middle School"/>
    <s v="Reading Specialist"/>
    <m/>
    <n v="48500"/>
    <n v="56816"/>
    <n v="65132"/>
  </r>
  <r>
    <s v="Dayton"/>
    <s v="Andrea"/>
    <n v="10281"/>
    <d v="2006-06-20T00:00:00"/>
    <n v="15.530555555555555"/>
    <n v="38888"/>
    <n v="15.530555555555555"/>
    <m/>
    <x v="0"/>
    <m/>
    <n v="38.890714285714289"/>
    <n v="54447"/>
    <n v="200"/>
    <n v="7"/>
    <n v="1"/>
    <n v="54447"/>
    <s v="Bluestone Elementary"/>
    <s v="ESL Specialist"/>
    <m/>
    <n v="48500"/>
    <n v="56816"/>
    <n v="65132"/>
  </r>
  <r>
    <s v="Dayton"/>
    <s v="Jeremy"/>
    <n v="10548"/>
    <d v="2002-03-04T00:00:00"/>
    <n v="19.824999999999999"/>
    <n v="37319"/>
    <n v="19.824999999999999"/>
    <m/>
    <x v="0"/>
    <m/>
    <n v="38.890714285714289"/>
    <n v="54447"/>
    <n v="200"/>
    <n v="7"/>
    <n v="1"/>
    <n v="54447"/>
    <s v="Waterman Elementary"/>
    <s v="Kindergarten Teacher"/>
    <m/>
    <n v="48500"/>
    <n v="56816"/>
    <n v="65132"/>
  </r>
  <r>
    <s v="Dean"/>
    <s v="Mary"/>
    <n v="13813"/>
    <d v="2017-07-17T00:00:00"/>
    <n v="4.4555555555555557"/>
    <n v="42933"/>
    <n v="4.4555555555555557"/>
    <m/>
    <x v="0"/>
    <m/>
    <n v="35.597857142857144"/>
    <n v="49837"/>
    <n v="200"/>
    <n v="7"/>
    <n v="1"/>
    <n v="49837"/>
    <s v="Keister Elementary"/>
    <s v="Fourth Grade Teacher"/>
    <m/>
    <n v="48500"/>
    <n v="56816"/>
    <n v="65132"/>
  </r>
  <r>
    <s v="Delawder"/>
    <s v="Brittney"/>
    <n v="14569"/>
    <d v="2019-08-12T00:00:00"/>
    <n v="2.3861111111111111"/>
    <n v="43689"/>
    <n v="2.3861111111111111"/>
    <m/>
    <x v="0"/>
    <m/>
    <n v="34.865000000000002"/>
    <n v="48811"/>
    <n v="200"/>
    <n v="7"/>
    <n v="1"/>
    <n v="48811"/>
    <s v="Elon Rhodes"/>
    <s v="VPI Teacher"/>
    <m/>
    <n v="48500"/>
    <n v="56816"/>
    <n v="65132"/>
  </r>
  <r>
    <s v="Delozier"/>
    <s v="Danae"/>
    <n v="12584"/>
    <d v="2013-08-13T00:00:00"/>
    <n v="8.3833333333333329"/>
    <n v="41499"/>
    <n v="8.3833333333333329"/>
    <m/>
    <x v="0"/>
    <m/>
    <n v="37.172142857142852"/>
    <n v="52041"/>
    <n v="200"/>
    <n v="7"/>
    <n v="1"/>
    <n v="52041"/>
    <s v="Harrisonburg High"/>
    <s v="Reading Teacher"/>
    <m/>
    <n v="48500"/>
    <n v="56816"/>
    <n v="65132"/>
  </r>
  <r>
    <s v="Denlinger"/>
    <s v="Matthew"/>
    <n v="13876"/>
    <d v="2017-08-21T00:00:00"/>
    <n v="4.3611111111111107"/>
    <n v="42968"/>
    <n v="4.3611111111111107"/>
    <m/>
    <x v="0"/>
    <m/>
    <n v="35.597857142857144"/>
    <n v="49837"/>
    <n v="200"/>
    <n v="7"/>
    <n v="1"/>
    <n v="49837"/>
    <s v="Harrisonburg High"/>
    <s v="Business and Information Technology Teacher"/>
    <m/>
    <n v="48500"/>
    <n v="56816"/>
    <n v="65132"/>
  </r>
  <r>
    <s v="Detamore"/>
    <s v="April"/>
    <n v="10660"/>
    <d v="2006-08-09T00:00:00"/>
    <n v="15.394444444444444"/>
    <n v="38938"/>
    <n v="15.394444444444444"/>
    <m/>
    <x v="0"/>
    <m/>
    <n v="41.879285714285707"/>
    <n v="58631"/>
    <n v="200"/>
    <n v="7"/>
    <n v="1"/>
    <n v="58631"/>
    <s v="Skyline Middle"/>
    <s v="Language Arts Teacher"/>
    <m/>
    <n v="48500"/>
    <n v="56816"/>
    <n v="65132"/>
  </r>
  <r>
    <s v="Detamore"/>
    <s v="Caleb"/>
    <n v="13753"/>
    <d v="2017-02-22T00:00:00"/>
    <n v="4.8583333333333334"/>
    <n v="42788"/>
    <n v="4.8583333333333334"/>
    <m/>
    <x v="0"/>
    <m/>
    <n v="35.007857142857141"/>
    <n v="49011"/>
    <n v="200"/>
    <n v="7"/>
    <n v="1"/>
    <n v="49011"/>
    <s v="Spotswood Elementary"/>
    <s v="PE Teacher"/>
    <m/>
    <n v="48500"/>
    <n v="56816"/>
    <n v="65132"/>
  </r>
  <r>
    <s v="Dhillon"/>
    <s v="Elisabeth"/>
    <n v="13583"/>
    <d v="2016-08-15T00:00:00"/>
    <n v="5.3777777777777782"/>
    <n v="42597"/>
    <n v="5.3777777777777782"/>
    <m/>
    <x v="0"/>
    <m/>
    <n v="38.890714285714289"/>
    <n v="54447"/>
    <n v="200"/>
    <n v="7"/>
    <n v="1"/>
    <n v="54447"/>
    <s v="Smithland Elementary"/>
    <s v="Music Teacher"/>
    <m/>
    <n v="48500"/>
    <n v="56816"/>
    <n v="65132"/>
  </r>
  <r>
    <s v="Diaz-Bernabe"/>
    <s v="Angelica"/>
    <n v="13509"/>
    <d v="2016-08-13T00:00:00"/>
    <n v="5.3833333333333337"/>
    <n v="42595"/>
    <n v="5.3833333333333337"/>
    <m/>
    <x v="0"/>
    <m/>
    <n v="36.119999999999997"/>
    <n v="50568"/>
    <n v="200"/>
    <n v="7"/>
    <n v="1"/>
    <n v="50568"/>
    <s v="Smithland Elementary"/>
    <s v="Kindergarten Teacher"/>
    <m/>
    <n v="48500"/>
    <n v="56816"/>
    <n v="65132"/>
  </r>
  <r>
    <s v="Didlake"/>
    <s v="Courtney"/>
    <n v="13802"/>
    <d v="2017-07-17T00:00:00"/>
    <n v="4.4555555555555557"/>
    <n v="42933"/>
    <n v="4.4555555555555557"/>
    <m/>
    <x v="0"/>
    <m/>
    <n v="35.597857142857144"/>
    <n v="49837"/>
    <n v="200"/>
    <n v="7"/>
    <n v="1"/>
    <n v="49837"/>
    <s v="Skyline Middle School"/>
    <s v="6th Grade English Teacher"/>
    <m/>
    <n v="48500"/>
    <n v="56816"/>
    <n v="65132"/>
  </r>
  <r>
    <s v="Diggs"/>
    <s v="Jennifer"/>
    <n v="13614"/>
    <d v="2016-08-15T00:00:00"/>
    <n v="5.3777777777777782"/>
    <n v="42597"/>
    <n v="5.3777777777777782"/>
    <m/>
    <x v="1"/>
    <m/>
    <n v="41.393599999999999"/>
    <n v="77613"/>
    <n v="250"/>
    <n v="7.5"/>
    <n v="1"/>
    <n v="77613"/>
    <s v="Thomas Harrison Middle"/>
    <s v="Director of GOA"/>
    <m/>
    <n v="72151"/>
    <n v="85836"/>
    <n v="99521"/>
  </r>
  <r>
    <s v="Dirks"/>
    <s v="Sarah"/>
    <n v="14070"/>
    <d v="2019-04-01T00:00:00"/>
    <n v="2.75"/>
    <n v="43556"/>
    <n v="2.75"/>
    <m/>
    <x v="0"/>
    <m/>
    <n v="35.007857142857141"/>
    <n v="49011"/>
    <n v="200"/>
    <n v="7"/>
    <n v="1"/>
    <n v="49011"/>
    <s v="Skyline Middle School"/>
    <s v="SPED Teacher"/>
    <m/>
    <n v="48500"/>
    <n v="56816"/>
    <n v="65132"/>
  </r>
  <r>
    <s v="Dofflemyer"/>
    <s v="Mary"/>
    <n v="10283"/>
    <d v="2000-08-16T00:00:00"/>
    <n v="21.375"/>
    <n v="36754"/>
    <n v="21.375"/>
    <m/>
    <x v="0"/>
    <m/>
    <n v="45.055"/>
    <n v="63077"/>
    <n v="200"/>
    <n v="7"/>
    <n v="1"/>
    <n v="63077"/>
    <s v="Keister Elementary"/>
    <s v="Second Grade Teacher"/>
    <m/>
    <n v="48500"/>
    <n v="56816"/>
    <n v="65132"/>
  </r>
  <r>
    <s v="Dollins"/>
    <s v="Wesley"/>
    <n v="13310"/>
    <d v="2015-10-07T00:00:00"/>
    <n v="6.2333333333333334"/>
    <n v="42284"/>
    <n v="6.2333333333333334"/>
    <m/>
    <x v="0"/>
    <m/>
    <n v="36.119999999999997"/>
    <n v="50568"/>
    <n v="200"/>
    <n v="7"/>
    <n v="1"/>
    <n v="50568"/>
    <s v="Keister Elementary"/>
    <s v="Third Grade Teacher"/>
    <m/>
    <n v="48500"/>
    <n v="56816"/>
    <n v="65132"/>
  </r>
  <r>
    <s v="Dolmo Chirinos"/>
    <s v="Cilia"/>
    <n v="14035"/>
    <d v="2019-03-19T00:00:00"/>
    <n v="2.7833333333333332"/>
    <n v="43543"/>
    <n v="2.7833333333333332"/>
    <m/>
    <x v="0"/>
    <m/>
    <n v="41.008571428571429"/>
    <n v="28706"/>
    <n v="200"/>
    <n v="3.5"/>
    <n v="0.5"/>
    <n v="57412"/>
    <s v="Thomas Harrison Middle"/>
    <s v="History/Science Teacher"/>
    <m/>
    <n v="48500"/>
    <n v="56816"/>
    <n v="65132"/>
  </r>
  <r>
    <s v="Doss"/>
    <s v="Tawnya"/>
    <n v="10550"/>
    <d v="2007-08-16T00:00:00"/>
    <n v="14.375"/>
    <n v="39310"/>
    <n v="14.375"/>
    <m/>
    <x v="0"/>
    <m/>
    <n v="40.299285714285716"/>
    <n v="56419"/>
    <n v="200"/>
    <n v="7"/>
    <n v="1"/>
    <n v="56419"/>
    <s v="Smithland Elementary"/>
    <s v="Instructional Coach"/>
    <m/>
    <n v="48500"/>
    <n v="56816"/>
    <n v="65132"/>
  </r>
  <r>
    <s v="Dottin-Carter"/>
    <s v="Isaiah"/>
    <n v="13877"/>
    <d v="2017-08-21T00:00:00"/>
    <n v="4.3611111111111107"/>
    <n v="42968"/>
    <n v="4.3611111111111107"/>
    <m/>
    <x v="0"/>
    <m/>
    <n v="36.119999999999997"/>
    <n v="50568"/>
    <n v="200"/>
    <n v="7"/>
    <n v="1"/>
    <n v="50568"/>
    <s v="Central Office"/>
    <s v="Behavior Specialist"/>
    <m/>
    <n v="48500"/>
    <n v="56816"/>
    <n v="65132"/>
  </r>
  <r>
    <s v="Dougherty"/>
    <s v="Kate"/>
    <n v="11413"/>
    <d v="2008-11-26T00:00:00"/>
    <n v="13.097222222222221"/>
    <n v="39778"/>
    <n v="13.097222222222221"/>
    <m/>
    <x v="0"/>
    <m/>
    <n v="37.951428571428572"/>
    <n v="53132"/>
    <n v="200"/>
    <n v="7"/>
    <n v="1"/>
    <n v="53132"/>
    <s v="Waterman Elementary"/>
    <s v="Fourth Grade Teacher"/>
    <m/>
    <n v="48500"/>
    <n v="56816"/>
    <n v="65132"/>
  </r>
  <r>
    <s v="Driver"/>
    <s v="Diane"/>
    <n v="14299"/>
    <d v="2018-08-13T00:00:00"/>
    <n v="3.3833333333333333"/>
    <n v="43325"/>
    <n v="3.3833333333333333"/>
    <m/>
    <x v="0"/>
    <m/>
    <n v="40.693197278911562"/>
    <n v="59819"/>
    <n v="210"/>
    <n v="7"/>
    <n v="1"/>
    <n v="59819"/>
    <s v="Waterman Elementary"/>
    <s v="Media Specialist (Librarian)"/>
    <m/>
    <n v="48500"/>
    <n v="56816"/>
    <n v="65132"/>
  </r>
  <r>
    <s v="Duda"/>
    <s v="Mary"/>
    <n v="10518"/>
    <d v="2001-09-17T00:00:00"/>
    <n v="20.288888888888888"/>
    <n v="37151"/>
    <n v="20.288888888888888"/>
    <m/>
    <x v="0"/>
    <m/>
    <n v="35.25"/>
    <n v="49350"/>
    <n v="200"/>
    <n v="7"/>
    <n v="1"/>
    <n v="49350"/>
    <s v="Spotswood Elementary"/>
    <s v="ESL Specialist"/>
    <m/>
    <n v="48500"/>
    <n v="56816"/>
    <n v="65132"/>
  </r>
  <r>
    <s v="Duncan"/>
    <s v="Claudette"/>
    <n v="14888"/>
    <d v="2020-08-12T00:00:00"/>
    <n v="1.3861111111111111"/>
    <n v="44055"/>
    <n v="1.3861111111111111"/>
    <m/>
    <x v="0"/>
    <m/>
    <n v="37.575714285714284"/>
    <n v="52606"/>
    <n v="200"/>
    <n v="7"/>
    <n v="1"/>
    <n v="52606"/>
    <s v="Spotswood Elementary"/>
    <s v="Speech Pathologist"/>
    <m/>
    <n v="48500"/>
    <n v="56816"/>
    <n v="65132"/>
  </r>
  <r>
    <s v="Dupal"/>
    <s v="Eleonore"/>
    <n v="14330"/>
    <d v="2018-08-13T00:00:00"/>
    <n v="3.3833333333333333"/>
    <n v="43325"/>
    <n v="3.3833333333333333"/>
    <m/>
    <x v="0"/>
    <m/>
    <n v="35.25"/>
    <n v="49350"/>
    <n v="200"/>
    <n v="7"/>
    <n v="1"/>
    <n v="49350"/>
    <s v="Thomas Harrison Middle"/>
    <s v="French Teacher"/>
    <m/>
    <n v="48500"/>
    <n v="56816"/>
    <n v="65132"/>
  </r>
  <r>
    <s v="Durren"/>
    <s v="Kara"/>
    <n v="15080"/>
    <d v="2021-08-04T00:00:00"/>
    <n v="0.40833333333333333"/>
    <n v="44412"/>
    <n v="0.40833333333333333"/>
    <m/>
    <x v="0"/>
    <m/>
    <n v="34.865000000000002"/>
    <n v="48811"/>
    <n v="200"/>
    <n v="7"/>
    <n v="1"/>
    <n v="48811"/>
    <s v="Harrisonburg High"/>
    <s v="Social Studies Teacher"/>
    <m/>
    <n v="48500"/>
    <n v="56816"/>
    <n v="65132"/>
  </r>
  <r>
    <s v="Dutor Noguera"/>
    <s v="Africa"/>
    <n v="14261"/>
    <d v="2018-08-13T00:00:00"/>
    <n v="3.3833333333333333"/>
    <n v="43325"/>
    <n v="3.3833333333333333"/>
    <m/>
    <x v="0"/>
    <m/>
    <n v="41.879285714285707"/>
    <n v="58631"/>
    <n v="200"/>
    <n v="7"/>
    <n v="1"/>
    <n v="58631"/>
    <s v="Bluestone Elementary"/>
    <s v="Fourth Grade Teacher"/>
    <m/>
    <n v="48500"/>
    <n v="56816"/>
    <n v="65132"/>
  </r>
  <r>
    <s v="Eanes"/>
    <s v="Allison"/>
    <n v="12555"/>
    <d v="2013-06-13T00:00:00"/>
    <n v="8.5500000000000007"/>
    <n v="41438"/>
    <n v="8.5500000000000007"/>
    <m/>
    <x v="0"/>
    <m/>
    <n v="37.172142857142852"/>
    <n v="52041"/>
    <n v="200"/>
    <n v="7"/>
    <n v="1"/>
    <n v="52041"/>
    <s v="Thomas Harrison Middle"/>
    <s v="Science/Social Studies Teacher"/>
    <m/>
    <n v="48500"/>
    <n v="56816"/>
    <n v="65132"/>
  </r>
  <r>
    <s v="Eberly"/>
    <s v="Heather"/>
    <n v="10442"/>
    <d v="2006-08-09T00:00:00"/>
    <n v="15.394444444444444"/>
    <n v="38938"/>
    <n v="15.394444444444444"/>
    <m/>
    <x v="0"/>
    <m/>
    <n v="41.007857142857141"/>
    <n v="57411"/>
    <n v="200"/>
    <n v="7"/>
    <n v="1"/>
    <n v="57411"/>
    <s v="Stone Spring Elementary"/>
    <s v="Music Teacher"/>
    <m/>
    <n v="48500"/>
    <n v="56816"/>
    <n v="65132"/>
  </r>
  <r>
    <s v="Eberly"/>
    <s v="Natalie"/>
    <n v="12926"/>
    <d v="2014-10-08T00:00:00"/>
    <n v="7.2305555555555552"/>
    <n v="41920"/>
    <n v="7.2305555555555552"/>
    <m/>
    <x v="0"/>
    <m/>
    <n v="37.562142857142859"/>
    <n v="52587"/>
    <n v="200"/>
    <n v="7"/>
    <n v="1"/>
    <n v="52587"/>
    <s v="Keister Elementary"/>
    <s v="Fifth Grade Teacher"/>
    <m/>
    <n v="48500"/>
    <n v="56816"/>
    <n v="65132"/>
  </r>
  <r>
    <s v="Edwards"/>
    <s v="Michelle"/>
    <n v="12654"/>
    <d v="2013-11-01T00:00:00"/>
    <n v="8.1666666666666661"/>
    <n v="41579"/>
    <n v="8.1666666666666661"/>
    <m/>
    <x v="1"/>
    <m/>
    <n v="46.1952"/>
    <n v="86616"/>
    <n v="250"/>
    <n v="7.5"/>
    <n v="1"/>
    <n v="86616"/>
    <s v="Central Office"/>
    <s v="Equity Coordinator"/>
    <m/>
    <n v="72151"/>
    <n v="85836"/>
    <n v="99521"/>
  </r>
  <r>
    <s v="Ehlers"/>
    <s v="Rosemary"/>
    <n v="12760"/>
    <d v="2014-06-01T00:00:00"/>
    <n v="7.583333333333333"/>
    <n v="41791"/>
    <n v="7.583333333333333"/>
    <m/>
    <x v="0"/>
    <m/>
    <n v="36.780714285714282"/>
    <n v="51493"/>
    <n v="200"/>
    <n v="7"/>
    <n v="1"/>
    <n v="51493"/>
    <s v="Smithland Elementary"/>
    <s v="Fourth Grade Teacher"/>
    <m/>
    <n v="48500"/>
    <n v="56816"/>
    <n v="65132"/>
  </r>
  <r>
    <s v="Elliott"/>
    <s v="April"/>
    <n v="10552"/>
    <d v="2001-08-15T00:00:00"/>
    <n v="20.377777777777776"/>
    <n v="37118"/>
    <n v="20.377777777777776"/>
    <m/>
    <x v="0"/>
    <m/>
    <n v="41.482142857142854"/>
    <n v="58075"/>
    <n v="200"/>
    <n v="7"/>
    <n v="1"/>
    <n v="58075"/>
    <s v="Stone Spring Elementary"/>
    <s v="Third Grade Teacher"/>
    <m/>
    <n v="48500"/>
    <n v="56816"/>
    <n v="65132"/>
  </r>
  <r>
    <s v="Elmore"/>
    <s v="Janie"/>
    <n v="13399"/>
    <d v="2015-12-01T00:00:00"/>
    <n v="6.083333333333333"/>
    <n v="42339"/>
    <n v="6.083333333333333"/>
    <m/>
    <x v="0"/>
    <m/>
    <n v="35.952857142857141"/>
    <n v="50334"/>
    <n v="200"/>
    <n v="7"/>
    <n v="1"/>
    <n v="50334"/>
    <s v="Stone Spring Elementary"/>
    <s v="Third Grade Teacher"/>
    <m/>
    <n v="48500"/>
    <n v="56816"/>
    <n v="65132"/>
  </r>
  <r>
    <s v="Elwell"/>
    <s v="Brenna"/>
    <n v="13373"/>
    <d v="2015-11-03T00:00:00"/>
    <n v="6.1611111111111114"/>
    <n v="42311"/>
    <n v="6.1611111111111114"/>
    <m/>
    <x v="0"/>
    <m/>
    <n v="35.597857142857144"/>
    <n v="49837"/>
    <n v="200"/>
    <n v="7"/>
    <n v="1"/>
    <n v="49837"/>
    <s v="Spotswood Elementary"/>
    <s v="Fifth Grade Teacher"/>
    <m/>
    <n v="48500"/>
    <n v="56816"/>
    <n v="65132"/>
  </r>
  <r>
    <s v="Elwell Jr"/>
    <s v="James"/>
    <n v="11559"/>
    <d v="2009-08-14T00:00:00"/>
    <n v="12.380555555555556"/>
    <n v="40039"/>
    <n v="12.380555555555556"/>
    <m/>
    <x v="0"/>
    <m/>
    <n v="37.951428571428572"/>
    <n v="53132"/>
    <n v="200"/>
    <n v="7"/>
    <n v="1"/>
    <n v="53132"/>
    <s v="Bluestone Elementary"/>
    <s v="ESL Specialist"/>
    <m/>
    <n v="48500"/>
    <n v="56816"/>
    <n v="65132"/>
  </r>
  <r>
    <s v="Enloe"/>
    <s v="Sarah"/>
    <n v="15103"/>
    <d v="2021-08-04T00:00:00"/>
    <n v="0.40833333333333333"/>
    <n v="44412"/>
    <n v="0.40833333333333333"/>
    <m/>
    <x v="0"/>
    <m/>
    <n v="36.780714285714282"/>
    <n v="51493"/>
    <n v="200"/>
    <n v="7"/>
    <n v="1"/>
    <n v="51493"/>
    <s v="Thomas Harrison Middle"/>
    <s v="Drama Teacher"/>
    <m/>
    <n v="48500"/>
    <n v="56816"/>
    <n v="65132"/>
  </r>
  <r>
    <s v="Erb"/>
    <s v="Peyton"/>
    <n v="11981"/>
    <d v="2011-04-06T00:00:00"/>
    <n v="10.736111111111111"/>
    <n v="40639"/>
    <n v="10.736111111111111"/>
    <m/>
    <x v="0"/>
    <m/>
    <n v="37.562142857142859"/>
    <n v="52587"/>
    <n v="200"/>
    <n v="7"/>
    <n v="1"/>
    <n v="52587"/>
    <s v="Bluestone Elementary"/>
    <s v="Third Grade Teacher"/>
    <m/>
    <n v="48500"/>
    <n v="56816"/>
    <n v="65132"/>
  </r>
  <r>
    <s v="Erickson"/>
    <s v="Mallery"/>
    <n v="11485"/>
    <d v="2009-02-18T00:00:00"/>
    <n v="12.869444444444444"/>
    <n v="39862"/>
    <n v="12.869444444444444"/>
    <m/>
    <x v="0"/>
    <m/>
    <n v="37.951428571428572"/>
    <n v="53132"/>
    <n v="200"/>
    <n v="7"/>
    <n v="1"/>
    <n v="53132"/>
    <s v="Skyline Middle"/>
    <s v="ESL Specialist - Newcomer"/>
    <m/>
    <n v="48500"/>
    <n v="56816"/>
    <n v="65132"/>
  </r>
  <r>
    <s v="Estes Jr"/>
    <s v="Geoffray"/>
    <n v="11233"/>
    <d v="2008-08-13T00:00:00"/>
    <n v="13.383333333333333"/>
    <n v="39673"/>
    <n v="13.383333333333333"/>
    <m/>
    <x v="0"/>
    <m/>
    <n v="42.532142857142858"/>
    <n v="59545"/>
    <n v="200"/>
    <n v="7"/>
    <n v="1"/>
    <n v="59545"/>
    <s v="Harrisonburg High"/>
    <s v="Computer Science Teacher"/>
    <m/>
    <n v="48500"/>
    <n v="56816"/>
    <n v="65132"/>
  </r>
  <r>
    <s v="Evans"/>
    <s v="Jennifer"/>
    <n v="12858"/>
    <d v="2014-08-11T00:00:00"/>
    <n v="7.3888888888888893"/>
    <n v="41862"/>
    <n v="7.3888888888888893"/>
    <m/>
    <x v="0"/>
    <m/>
    <n v="36.780714285714282"/>
    <n v="51493"/>
    <n v="200"/>
    <n v="7"/>
    <n v="1"/>
    <n v="51493"/>
    <s v="Stone Spring Elementary"/>
    <s v="Third Grade Teacher"/>
    <m/>
    <n v="48500"/>
    <n v="56816"/>
    <n v="65132"/>
  </r>
  <r>
    <s v="Everidge"/>
    <s v="Bethany"/>
    <n v="12066"/>
    <d v="2011-08-15T00:00:00"/>
    <n v="10.377777777777778"/>
    <n v="40770"/>
    <n v="10.377777777777778"/>
    <m/>
    <x v="1"/>
    <m/>
    <n v="42.693333333333335"/>
    <n v="80050"/>
    <n v="250"/>
    <n v="7.5"/>
    <n v="1"/>
    <n v="80050"/>
    <s v="Central Office"/>
    <s v="CTE Coordinator/Teacher"/>
    <m/>
    <n v="72151"/>
    <n v="85836"/>
    <n v="99521"/>
  </r>
  <r>
    <s v="Eye"/>
    <s v="Barbara"/>
    <n v="10108"/>
    <d v="2006-08-09T00:00:00"/>
    <n v="15.394444444444444"/>
    <n v="38938"/>
    <n v="15.394444444444444"/>
    <m/>
    <x v="0"/>
    <m/>
    <n v="41.482142857142854"/>
    <n v="58075"/>
    <n v="200"/>
    <n v="7"/>
    <n v="1"/>
    <n v="58075"/>
    <s v="Harrisonburg High"/>
    <s v="Instructional Coach"/>
    <m/>
    <n v="48500"/>
    <n v="56816"/>
    <n v="65132"/>
  </r>
  <r>
    <s v="Fajardo-Gomez"/>
    <s v="Tony"/>
    <n v="12766"/>
    <d v="2014-05-20T00:00:00"/>
    <n v="7.6138888888888889"/>
    <n v="41779"/>
    <n v="7.6138888888888889"/>
    <m/>
    <x v="0"/>
    <m/>
    <n v="37.951428571428572"/>
    <n v="53132"/>
    <n v="200"/>
    <n v="7"/>
    <n v="1"/>
    <n v="53132"/>
    <s v="Skyline Middle"/>
    <s v="Home School Liaison"/>
    <m/>
    <n v="48500"/>
    <n v="56816"/>
    <n v="65132"/>
  </r>
  <r>
    <s v="Fantasia"/>
    <s v="Tori"/>
    <n v="13413"/>
    <d v="2016-01-05T00:00:00"/>
    <n v="5.9888888888888889"/>
    <n v="42374"/>
    <n v="5.9888888888888889"/>
    <m/>
    <x v="0"/>
    <m/>
    <n v="35.597857142857144"/>
    <n v="49837"/>
    <n v="200"/>
    <n v="7"/>
    <n v="1"/>
    <n v="49837"/>
    <s v="Harrisonburg High"/>
    <s v="PE Teacher"/>
    <m/>
    <n v="48500"/>
    <n v="56816"/>
    <n v="65132"/>
  </r>
  <r>
    <s v="Farabaugh"/>
    <s v="Cathy"/>
    <n v="11825"/>
    <d v="2010-08-19T00:00:00"/>
    <n v="11.366666666666667"/>
    <n v="40409"/>
    <n v="11.366666666666667"/>
    <m/>
    <x v="0"/>
    <m/>
    <n v="37.951428571428572"/>
    <n v="53132"/>
    <n v="200"/>
    <n v="7"/>
    <n v="1"/>
    <n v="53132"/>
    <s v="Thomas Harrison Middle"/>
    <s v="Science/Social Studies Teacher"/>
    <m/>
    <n v="48500"/>
    <n v="56816"/>
    <n v="65132"/>
  </r>
  <r>
    <s v="Faulconer"/>
    <s v="Donna"/>
    <n v="12539"/>
    <d v="2013-08-13T00:00:00"/>
    <n v="8.3833333333333329"/>
    <n v="41499"/>
    <n v="8.3833333333333329"/>
    <m/>
    <x v="0"/>
    <m/>
    <n v="48.181428571428569"/>
    <n v="67454"/>
    <n v="200"/>
    <n v="7"/>
    <n v="1"/>
    <n v="67454"/>
    <s v="Elon Rhodes"/>
    <s v="Early Childhood SPED Teacher"/>
    <m/>
    <n v="48500"/>
    <n v="56816"/>
    <n v="65132"/>
  </r>
  <r>
    <s v="Ferency-Viars"/>
    <s v="Connie"/>
    <n v="13599"/>
    <d v="2016-08-15T00:00:00"/>
    <n v="5.3777777777777782"/>
    <n v="42597"/>
    <n v="5.3777777777777782"/>
    <m/>
    <x v="0"/>
    <m/>
    <n v="39.035000000000004"/>
    <n v="54649"/>
    <n v="200"/>
    <n v="7"/>
    <n v="1"/>
    <n v="54649"/>
    <s v="Skyline Middle"/>
    <s v="Special Education Teacher"/>
    <m/>
    <n v="48500"/>
    <n v="56816"/>
    <n v="65132"/>
  </r>
  <r>
    <s v="Ferguson"/>
    <s v="Diana"/>
    <n v="10553"/>
    <d v="1984-08-21T00:00:00"/>
    <n v="37.361111111111114"/>
    <n v="30915"/>
    <n v="37.361111111111114"/>
    <m/>
    <x v="0"/>
    <m/>
    <n v="55.453571428571429"/>
    <n v="77635"/>
    <n v="200"/>
    <n v="7"/>
    <n v="1"/>
    <n v="77635"/>
    <s v="Waterman Elementary"/>
    <s v="Differentiation Specialist"/>
    <m/>
    <n v="48500"/>
    <n v="56816"/>
    <n v="65132"/>
  </r>
  <r>
    <s v="Ferrer"/>
    <s v="Niuvys"/>
    <n v="12775"/>
    <d v="2014-08-11T00:00:00"/>
    <n v="7.3888888888888893"/>
    <n v="41862"/>
    <n v="7.3888888888888893"/>
    <m/>
    <x v="0"/>
    <m/>
    <n v="37.172142857142852"/>
    <n v="52041"/>
    <n v="200"/>
    <n v="7"/>
    <n v="1"/>
    <n v="52041"/>
    <s v="Skyline Middle"/>
    <s v="Spanish Teacher"/>
    <m/>
    <n v="48500"/>
    <n v="56816"/>
    <n v="65132"/>
  </r>
  <r>
    <s v="Fields"/>
    <s v="Seja"/>
    <n v="14880"/>
    <d v="2020-08-12T00:00:00"/>
    <n v="1.3861111111111111"/>
    <n v="44055"/>
    <n v="1.3861111111111111"/>
    <m/>
    <x v="0"/>
    <m/>
    <n v="34.865000000000002"/>
    <n v="48811"/>
    <n v="200"/>
    <n v="7"/>
    <n v="1"/>
    <n v="48811"/>
    <s v="Stone Spring Elementary"/>
    <s v="Fourth Grade Teacher"/>
    <m/>
    <n v="48500"/>
    <n v="56816"/>
    <n v="65132"/>
  </r>
  <r>
    <s v="Figliola"/>
    <s v="Deborah"/>
    <n v="12835"/>
    <d v="2014-08-11T00:00:00"/>
    <n v="7.3888888888888893"/>
    <n v="41862"/>
    <n v="7.3888888888888893"/>
    <m/>
    <x v="0"/>
    <m/>
    <n v="39.901428571428575"/>
    <n v="55862"/>
    <n v="200"/>
    <n v="7"/>
    <n v="1"/>
    <n v="55862"/>
    <s v="Skyline Middle"/>
    <s v="Special Education Teacher"/>
    <m/>
    <n v="48500"/>
    <n v="56816"/>
    <n v="65132"/>
  </r>
  <r>
    <s v="Finch"/>
    <s v="Kolby"/>
    <n v="13571"/>
    <d v="2016-08-15T00:00:00"/>
    <n v="5.3777777777777782"/>
    <n v="42597"/>
    <n v="5.3777777777777782"/>
    <m/>
    <x v="0"/>
    <m/>
    <n v="36.119999999999997"/>
    <n v="50568"/>
    <n v="200"/>
    <n v="7"/>
    <n v="1"/>
    <n v="50568"/>
    <s v="Spotswood Elementary"/>
    <s v="Fourth Grade Teacher"/>
    <m/>
    <n v="48500"/>
    <n v="56816"/>
    <n v="65132"/>
  </r>
  <r>
    <s v="Fisher"/>
    <s v="Eleanor"/>
    <n v="13430"/>
    <d v="2016-01-20T00:00:00"/>
    <n v="5.947222222222222"/>
    <n v="42389"/>
    <n v="5.947222222222222"/>
    <m/>
    <x v="0"/>
    <m/>
    <n v="35.007857142857141"/>
    <n v="49011"/>
    <n v="200"/>
    <n v="7"/>
    <n v="1"/>
    <n v="49011"/>
    <s v="Smithland Elementary"/>
    <s v="ESL Specialist"/>
    <m/>
    <n v="48500"/>
    <n v="56816"/>
    <n v="65132"/>
  </r>
  <r>
    <s v="Fisher"/>
    <s v="Kasey"/>
    <n v="11234"/>
    <d v="2008-08-13T00:00:00"/>
    <n v="13.383333333333333"/>
    <n v="39673"/>
    <n v="13.383333333333333"/>
    <m/>
    <x v="0"/>
    <m/>
    <n v="38.344285714285718"/>
    <n v="53682"/>
    <n v="200"/>
    <n v="7"/>
    <n v="1"/>
    <n v="53682"/>
    <s v="Harrisonburg High"/>
    <s v="Chemistry Teacher"/>
    <m/>
    <n v="48500"/>
    <n v="56816"/>
    <n v="65132"/>
  </r>
  <r>
    <s v="Fitzgerald"/>
    <s v="Lindsey"/>
    <n v="13731"/>
    <d v="2017-02-08T00:00:00"/>
    <n v="4.8972222222222221"/>
    <n v="42774"/>
    <n v="4.8972222222222221"/>
    <m/>
    <x v="0"/>
    <m/>
    <n v="34.642857142857146"/>
    <n v="48500"/>
    <n v="200"/>
    <n v="7"/>
    <n v="1"/>
    <n v="48500"/>
    <s v="Smithland Elementary"/>
    <s v="Reading Specialist"/>
    <m/>
    <n v="48500"/>
    <n v="56816"/>
    <n v="65132"/>
  </r>
  <r>
    <s v="Flores Cruz"/>
    <s v="Leryann"/>
    <n v="14602"/>
    <d v="2019-08-12T00:00:00"/>
    <n v="2.3861111111111111"/>
    <n v="43689"/>
    <n v="2.3861111111111111"/>
    <m/>
    <x v="0"/>
    <m/>
    <n v="35.007857142857141"/>
    <n v="49011"/>
    <n v="200"/>
    <n v="7"/>
    <n v="1"/>
    <n v="49011"/>
    <s v="Thomas Harrison Middle"/>
    <s v="Social Studies (DL) Teacher"/>
    <m/>
    <n v="48500"/>
    <n v="56816"/>
    <n v="65132"/>
  </r>
  <r>
    <s v="Flowe"/>
    <s v="Nancy"/>
    <n v="15035"/>
    <d v="2021-08-04T00:00:00"/>
    <n v="0.40833333333333333"/>
    <n v="44412"/>
    <n v="0.40833333333333333"/>
    <m/>
    <x v="0"/>
    <m/>
    <n v="38.431428571428569"/>
    <n v="53804"/>
    <n v="200"/>
    <n v="7"/>
    <n v="1"/>
    <n v="53804"/>
    <s v="Bluestone Elementary"/>
    <s v="Fourth Grade Teacher"/>
    <m/>
    <n v="48500"/>
    <n v="56816"/>
    <n v="65132"/>
  </r>
  <r>
    <s v="Formiconi"/>
    <s v="Mariela"/>
    <n v="12360"/>
    <d v="2012-08-14T00:00:00"/>
    <n v="9.3805555555555564"/>
    <n v="41135"/>
    <n v="9.3805555555555564"/>
    <m/>
    <x v="0"/>
    <m/>
    <n v="45.785714285714285"/>
    <n v="64100"/>
    <n v="200"/>
    <n v="7"/>
    <n v="1"/>
    <n v="64100"/>
    <s v="Bluestone Elementary"/>
    <s v="Kindergarten Teacher"/>
    <m/>
    <n v="48500"/>
    <n v="56816"/>
    <n v="65132"/>
  </r>
  <r>
    <s v="Fornadel"/>
    <s v="Annette"/>
    <n v="13954"/>
    <d v="2017-08-21T00:00:00"/>
    <n v="4.3611111111111107"/>
    <n v="42968"/>
    <n v="4.3611111111111107"/>
    <m/>
    <x v="0"/>
    <m/>
    <n v="36.780714285714282"/>
    <n v="51493"/>
    <n v="200"/>
    <n v="7"/>
    <n v="1"/>
    <n v="51493"/>
    <s v="Keister Elementary"/>
    <s v="Kindergarten Teacher"/>
    <m/>
    <n v="48500"/>
    <n v="56816"/>
    <n v="65132"/>
  </r>
  <r>
    <s v="Foster"/>
    <s v="Nicole"/>
    <n v="12763"/>
    <d v="2014-08-11T00:00:00"/>
    <n v="7.3888888888888893"/>
    <n v="41862"/>
    <n v="7.3888888888888893"/>
    <m/>
    <x v="0"/>
    <m/>
    <n v="36.780714285714282"/>
    <n v="51493"/>
    <n v="200"/>
    <n v="7"/>
    <n v="1"/>
    <n v="51493"/>
    <s v="Bluestone Elementary"/>
    <s v="Itrt"/>
    <m/>
    <n v="48500"/>
    <n v="56816"/>
    <n v="65132"/>
  </r>
  <r>
    <s v="Foster"/>
    <s v="Ross"/>
    <n v="10776"/>
    <d v="2007-06-19T00:00:00"/>
    <n v="14.533333333333333"/>
    <n v="39252"/>
    <n v="14.533333333333333"/>
    <m/>
    <x v="0"/>
    <m/>
    <n v="36.780714285714282"/>
    <n v="51493"/>
    <n v="200"/>
    <n v="7"/>
    <n v="1"/>
    <n v="51493"/>
    <s v="Harrisonburg High"/>
    <s v="Math Teacher"/>
    <m/>
    <n v="48500"/>
    <n v="56816"/>
    <n v="65132"/>
  </r>
  <r>
    <s v="Fournier"/>
    <s v="Danielle"/>
    <n v="12301"/>
    <d v="2012-08-14T00:00:00"/>
    <n v="9.3805555555555564"/>
    <n v="41135"/>
    <n v="9.3805555555555564"/>
    <m/>
    <x v="0"/>
    <m/>
    <n v="37.575714285714284"/>
    <n v="52606"/>
    <n v="200"/>
    <n v="7"/>
    <n v="1"/>
    <n v="52606"/>
    <s v="Stone Spring Elementary"/>
    <s v="Special Education Teacher"/>
    <m/>
    <n v="48500"/>
    <n v="56816"/>
    <n v="65132"/>
  </r>
  <r>
    <s v="Francis"/>
    <s v="Caitlin"/>
    <n v="13178"/>
    <d v="2015-08-01T00:00:00"/>
    <n v="6.416666666666667"/>
    <n v="42217"/>
    <n v="6.416666666666667"/>
    <m/>
    <x v="0"/>
    <m/>
    <n v="36.119999999999997"/>
    <n v="50568"/>
    <n v="200"/>
    <n v="7"/>
    <n v="1"/>
    <n v="50568"/>
    <s v="Harrisonburg High"/>
    <s v="English Teacher"/>
    <m/>
    <n v="48500"/>
    <n v="56816"/>
    <n v="65132"/>
  </r>
  <r>
    <s v="Frederick-Petersheim"/>
    <s v="Marta"/>
    <n v="13173"/>
    <d v="2015-08-17T00:00:00"/>
    <n v="6.3722222222222218"/>
    <n v="42233"/>
    <n v="6.3722222222222218"/>
    <m/>
    <x v="0"/>
    <m/>
    <n v="39.035000000000004"/>
    <n v="54649"/>
    <n v="200"/>
    <n v="7"/>
    <n v="1"/>
    <n v="54649"/>
    <s v="Skyline Middle"/>
    <s v="Dual Language Teacher"/>
    <m/>
    <n v="48500"/>
    <n v="56816"/>
    <n v="65132"/>
  </r>
  <r>
    <s v="Frey"/>
    <s v="Colton"/>
    <n v="14252"/>
    <d v="2018-08-13T00:00:00"/>
    <n v="3.3833333333333333"/>
    <n v="43325"/>
    <n v="3.3833333333333333"/>
    <m/>
    <x v="0"/>
    <m/>
    <n v="35.25"/>
    <n v="49350"/>
    <n v="200"/>
    <n v="7"/>
    <n v="1"/>
    <n v="49350"/>
    <s v="Stone Spring Elementary"/>
    <s v="Second Grade Teacher"/>
    <m/>
    <n v="48500"/>
    <n v="56816"/>
    <n v="65132"/>
  </r>
  <r>
    <s v="Frizzelle"/>
    <s v="Lorna"/>
    <n v="15064"/>
    <d v="2021-08-04T00:00:00"/>
    <n v="0.40833333333333333"/>
    <n v="44412"/>
    <n v="0.40833333333333333"/>
    <m/>
    <x v="0"/>
    <m/>
    <n v="39.901428571428575"/>
    <n v="55862"/>
    <n v="200"/>
    <n v="7"/>
    <n v="1"/>
    <n v="55862"/>
    <s v="Central Office"/>
    <s v="Student Accessibility and Assistive Technolgy Specialist"/>
    <m/>
    <n v="48500"/>
    <n v="56816"/>
    <n v="65132"/>
  </r>
  <r>
    <s v="Frongia"/>
    <s v="Cara"/>
    <n v="10694"/>
    <d v="2003-08-13T00:00:00"/>
    <n v="18.383333333333333"/>
    <n v="37846"/>
    <n v="18.383333333333333"/>
    <m/>
    <x v="0"/>
    <m/>
    <n v="43.382857142857141"/>
    <n v="60736"/>
    <n v="200"/>
    <n v="7"/>
    <n v="1"/>
    <n v="60736"/>
    <s v="Thomas Harrison Middle"/>
    <s v="Speech Pathologist"/>
    <m/>
    <n v="48500"/>
    <n v="56816"/>
    <n v="65132"/>
  </r>
  <r>
    <s v="Frongia"/>
    <s v="Gian"/>
    <n v="12409"/>
    <d v="2012-10-02T00:00:00"/>
    <n v="9.2472222222222218"/>
    <n v="41184"/>
    <n v="9.2472222222222218"/>
    <m/>
    <x v="0"/>
    <m/>
    <n v="40.692857142857143"/>
    <n v="56970"/>
    <n v="200"/>
    <n v="7"/>
    <n v="1"/>
    <n v="56970"/>
    <s v="Harrisonburg High"/>
    <s v="Spanish Teacher"/>
    <m/>
    <n v="48500"/>
    <n v="56816"/>
    <n v="65132"/>
  </r>
  <r>
    <s v="Fulford"/>
    <s v="Tyler"/>
    <n v="10555"/>
    <d v="2005-09-28T00:00:00"/>
    <n v="16.258333333333333"/>
    <n v="38623"/>
    <n v="16.258333333333333"/>
    <m/>
    <x v="0"/>
    <m/>
    <n v="38.890714285714289"/>
    <n v="54447"/>
    <n v="200"/>
    <n v="7"/>
    <n v="1"/>
    <n v="54447"/>
    <s v="Skyline Middle"/>
    <s v="Math Teacher"/>
    <m/>
    <n v="48500"/>
    <n v="56816"/>
    <n v="65132"/>
  </r>
  <r>
    <s v="Funkhouser"/>
    <s v="Jacqueline"/>
    <n v="12060"/>
    <d v="2011-08-15T00:00:00"/>
    <n v="10.377777777777778"/>
    <n v="40770"/>
    <n v="10.377777777777778"/>
    <m/>
    <x v="0"/>
    <m/>
    <n v="38.890714285714289"/>
    <n v="54447"/>
    <n v="200"/>
    <n v="7"/>
    <n v="1"/>
    <n v="54447"/>
    <s v="Keister Elementary"/>
    <s v="Advanced Learning/STEM Specialist"/>
    <m/>
    <n v="48500"/>
    <n v="56816"/>
    <n v="65132"/>
  </r>
  <r>
    <s v="Garber"/>
    <s v="Michelle"/>
    <n v="10254"/>
    <d v="2003-05-01T00:00:00"/>
    <n v="18.666666666666668"/>
    <n v="37742"/>
    <n v="18.666666666666668"/>
    <m/>
    <x v="0"/>
    <m/>
    <n v="37.951428571428572"/>
    <n v="53132"/>
    <n v="200"/>
    <n v="7"/>
    <n v="1"/>
    <n v="53132"/>
    <s v="Bluestone Elementary"/>
    <s v="ESL Specialist"/>
    <m/>
    <n v="48500"/>
    <n v="56816"/>
    <n v="65132"/>
  </r>
  <r>
    <s v="Garcia"/>
    <s v="Henry"/>
    <n v="11357"/>
    <d v="2008-08-25T00:00:00"/>
    <n v="13.35"/>
    <n v="39685"/>
    <n v="13.35"/>
    <m/>
    <x v="0"/>
    <m/>
    <n v="37.951428571428572"/>
    <n v="53132"/>
    <n v="200"/>
    <n v="7"/>
    <n v="1"/>
    <n v="53132"/>
    <s v="Harrisonburg High"/>
    <s v="Spanish Teacher"/>
    <m/>
    <n v="48500"/>
    <n v="56816"/>
    <n v="65132"/>
  </r>
  <r>
    <s v="Gardner"/>
    <s v="Brian"/>
    <n v="15117"/>
    <d v="2021-08-04T00:00:00"/>
    <n v="0.40833333333333333"/>
    <n v="44412"/>
    <n v="0.40833333333333333"/>
    <m/>
    <x v="0"/>
    <m/>
    <n v="37.562142857142859"/>
    <n v="52587"/>
    <n v="200"/>
    <n v="7"/>
    <n v="1"/>
    <n v="52587"/>
    <s v="Spotswood Elementary"/>
    <s v="Third Grade Teacher"/>
    <m/>
    <n v="48500"/>
    <n v="56816"/>
    <n v="65132"/>
  </r>
  <r>
    <s v="Gayhart"/>
    <s v="Dawn"/>
    <n v="10547"/>
    <d v="2005-08-11T00:00:00"/>
    <n v="16.388888888888889"/>
    <n v="38575"/>
    <n v="16.388888888888889"/>
    <m/>
    <x v="0"/>
    <m/>
    <n v="39.901428571428575"/>
    <n v="55862"/>
    <n v="200"/>
    <n v="7"/>
    <n v="1"/>
    <n v="55862"/>
    <s v="Stone Spring Elementary"/>
    <s v="Kindergarten Teacher"/>
    <m/>
    <n v="48500"/>
    <n v="56816"/>
    <n v="65132"/>
  </r>
  <r>
    <s v="George"/>
    <s v="Sarah"/>
    <n v="14735"/>
    <d v="2019-12-02T00:00:00"/>
    <n v="2.0805555555555557"/>
    <n v="43801"/>
    <n v="2.0805555555555557"/>
    <m/>
    <x v="0"/>
    <m/>
    <n v="34.865000000000002"/>
    <n v="48811"/>
    <n v="200"/>
    <n v="7"/>
    <n v="1"/>
    <n v="48811"/>
    <s v="Keister Elementary"/>
    <s v="ESL Specialist"/>
    <m/>
    <n v="48500"/>
    <n v="56816"/>
    <n v="65132"/>
  </r>
  <r>
    <s v="Gibson"/>
    <s v="Kenneth"/>
    <n v="14278"/>
    <d v="2018-08-13T00:00:00"/>
    <n v="3.3833333333333333"/>
    <n v="43325"/>
    <n v="3.3833333333333333"/>
    <m/>
    <x v="0"/>
    <m/>
    <n v="44.324999999999996"/>
    <n v="62055"/>
    <n v="200"/>
    <n v="7"/>
    <n v="1"/>
    <n v="62055"/>
    <s v="Harrisonburg High"/>
    <s v="Drama Teacher"/>
    <m/>
    <n v="48500"/>
    <n v="56816"/>
    <n v="65132"/>
  </r>
  <r>
    <s v="Gillgren"/>
    <s v="Kendra"/>
    <n v="11929"/>
    <d v="2011-02-02T00:00:00"/>
    <n v="10.91388888888889"/>
    <n v="40576"/>
    <n v="10.91388888888889"/>
    <m/>
    <x v="0"/>
    <m/>
    <n v="37.562142857142859"/>
    <n v="52587"/>
    <n v="200"/>
    <n v="7"/>
    <n v="1"/>
    <n v="52587"/>
    <s v="Skyline Middle School"/>
    <s v="PE Teacher"/>
    <m/>
    <n v="48500"/>
    <n v="56816"/>
    <n v="65132"/>
  </r>
  <r>
    <s v="Gingras"/>
    <s v="Sara"/>
    <n v="12573"/>
    <d v="2013-08-13T00:00:00"/>
    <n v="8.3833333333333329"/>
    <n v="41499"/>
    <n v="8.3833333333333329"/>
    <m/>
    <x v="0"/>
    <m/>
    <n v="39.901428571428575"/>
    <n v="55862"/>
    <n v="200"/>
    <n v="7"/>
    <n v="1"/>
    <n v="55862"/>
    <s v="Harrisonburg High"/>
    <s v="English Teacher"/>
    <m/>
    <n v="48500"/>
    <n v="56816"/>
    <n v="65132"/>
  </r>
  <r>
    <s v="Glazer"/>
    <s v="Jennifer"/>
    <n v="12090"/>
    <d v="2011-08-15T00:00:00"/>
    <n v="10.377777777777778"/>
    <n v="40770"/>
    <n v="10.377777777777778"/>
    <m/>
    <x v="0"/>
    <m/>
    <n v="38.344285714285718"/>
    <n v="53682"/>
    <n v="200"/>
    <n v="7"/>
    <n v="1"/>
    <n v="53682"/>
    <s v="Harrisonburg High"/>
    <s v="Career and Technical Education"/>
    <m/>
    <n v="48500"/>
    <n v="56816"/>
    <n v="65132"/>
  </r>
  <r>
    <s v="Glover"/>
    <s v="Elisabeth"/>
    <n v="10166"/>
    <d v="1999-08-18T00:00:00"/>
    <n v="22.369444444444444"/>
    <n v="36390"/>
    <n v="22.369444444444444"/>
    <m/>
    <x v="0"/>
    <m/>
    <n v="41.482142857142854"/>
    <n v="58075"/>
    <n v="200"/>
    <n v="7"/>
    <n v="1"/>
    <n v="58075"/>
    <s v="Harrisonburg High"/>
    <s v="Math Teacher"/>
    <m/>
    <n v="48500"/>
    <n v="56816"/>
    <n v="65132"/>
  </r>
  <r>
    <s v="Goble"/>
    <s v="Adam"/>
    <n v="11761"/>
    <d v="2010-08-11T00:00:00"/>
    <n v="11.388888888888889"/>
    <n v="40401"/>
    <n v="11.388888888888889"/>
    <m/>
    <x v="0"/>
    <m/>
    <n v="37.951428571428572"/>
    <n v="53132"/>
    <n v="200"/>
    <n v="7"/>
    <n v="1"/>
    <n v="53132"/>
    <s v="Harrisonburg High"/>
    <s v="Science Teacher"/>
    <m/>
    <n v="48500"/>
    <n v="56816"/>
    <n v="65132"/>
  </r>
  <r>
    <s v="Godoy"/>
    <s v="Paige"/>
    <n v="10307"/>
    <d v="2002-06-20T00:00:00"/>
    <n v="19.530555555555555"/>
    <n v="37427"/>
    <n v="19.530555555555555"/>
    <m/>
    <x v="0"/>
    <m/>
    <n v="39.901428571428575"/>
    <n v="55862"/>
    <n v="200"/>
    <n v="7"/>
    <n v="1"/>
    <n v="55862"/>
    <s v="Keister Elementary"/>
    <s v="ESL Specialist"/>
    <m/>
    <n v="48500"/>
    <n v="56816"/>
    <n v="65132"/>
  </r>
  <r>
    <s v="Goldberg"/>
    <s v="Roni"/>
    <n v="14323"/>
    <d v="2018-08-16T00:00:00"/>
    <n v="3.375"/>
    <n v="43328"/>
    <n v="3.375"/>
    <m/>
    <x v="0"/>
    <m/>
    <n v="40.299285714285716"/>
    <n v="56419"/>
    <n v="200"/>
    <n v="7"/>
    <n v="1"/>
    <n v="56419"/>
    <s v="Thomas Harrison Middle"/>
    <s v="Mental Health Counselor"/>
    <m/>
    <n v="48500"/>
    <n v="56816"/>
    <n v="65132"/>
  </r>
  <r>
    <s v="Gonzalez"/>
    <s v="Joel"/>
    <n v="14872"/>
    <d v="2020-08-12T00:00:00"/>
    <n v="1.3861111111111111"/>
    <n v="44055"/>
    <n v="1.3861111111111111"/>
    <m/>
    <x v="0"/>
    <m/>
    <n v="38.344285714285718"/>
    <n v="53682"/>
    <n v="200"/>
    <n v="7"/>
    <n v="1"/>
    <n v="53682"/>
    <s v="Harrisonburg High"/>
    <s v="Spanish Teacher"/>
    <m/>
    <n v="48500"/>
    <n v="56816"/>
    <n v="65132"/>
  </r>
  <r>
    <s v="Gonzalez Saldivar"/>
    <s v="Evelin"/>
    <n v="14292"/>
    <d v="2019-05-21T00:00:00"/>
    <n v="2.6111111111111112"/>
    <n v="43606"/>
    <n v="2.6111111111111112"/>
    <m/>
    <x v="0"/>
    <m/>
    <n v="35.007857142857141"/>
    <n v="49011"/>
    <n v="200"/>
    <n v="7"/>
    <n v="1"/>
    <n v="49011"/>
    <s v="Waterman Elementary"/>
    <s v="First Grade Teacher"/>
    <m/>
    <n v="48500"/>
    <n v="56816"/>
    <n v="65132"/>
  </r>
  <r>
    <s v="Gonzalez Velasco"/>
    <s v="Cesar"/>
    <n v="14263"/>
    <d v="2018-08-13T00:00:00"/>
    <n v="3.3833333333333333"/>
    <n v="43325"/>
    <n v="3.3833333333333333"/>
    <m/>
    <x v="0"/>
    <m/>
    <n v="44.324999999999996"/>
    <n v="62055"/>
    <n v="200"/>
    <n v="7"/>
    <n v="1"/>
    <n v="62055"/>
    <s v="Skyline Middle"/>
    <s v="Social Studies Teacher"/>
    <m/>
    <n v="48500"/>
    <n v="56816"/>
    <n v="65132"/>
  </r>
  <r>
    <s v="Gorman"/>
    <s v="Sarah"/>
    <n v="14194"/>
    <d v="2018-08-13T00:00:00"/>
    <n v="3.3833333333333333"/>
    <n v="43325"/>
    <n v="3.3833333333333333"/>
    <m/>
    <x v="0"/>
    <m/>
    <n v="35.952857142857141"/>
    <n v="50334"/>
    <n v="200"/>
    <n v="7"/>
    <n v="1"/>
    <n v="50334"/>
    <s v="Thomas Harrison Middle"/>
    <s v="Alternative Education Teacher"/>
    <m/>
    <n v="48500"/>
    <n v="56816"/>
    <n v="65132"/>
  </r>
  <r>
    <s v="Grainger-Flanary"/>
    <s v="Carolyn"/>
    <n v="10255"/>
    <d v="2005-08-19T00:00:00"/>
    <n v="16.366666666666667"/>
    <n v="38583"/>
    <n v="16.366666666666667"/>
    <m/>
    <x v="0"/>
    <m/>
    <n v="34.642857142857146"/>
    <n v="48500"/>
    <n v="200"/>
    <n v="7"/>
    <n v="1"/>
    <n v="48500"/>
    <s v="Thomas Harrison Middle"/>
    <s v="SPED Teacher"/>
    <m/>
    <n v="48500"/>
    <n v="56816"/>
    <n v="65132"/>
  </r>
  <r>
    <s v="Grover"/>
    <s v="Amanda"/>
    <n v="10627"/>
    <d v="2005-05-09T00:00:00"/>
    <n v="16.644444444444446"/>
    <n v="38481"/>
    <n v="16.644444444444446"/>
    <m/>
    <x v="0"/>
    <m/>
    <n v="37.951428571428572"/>
    <n v="53132"/>
    <n v="200"/>
    <n v="7"/>
    <n v="1"/>
    <n v="53132"/>
    <s v="Skyline Middle School"/>
    <s v="Reading Specialist"/>
    <m/>
    <n v="48500"/>
    <n v="56816"/>
    <n v="65132"/>
  </r>
  <r>
    <s v="Groves"/>
    <s v="Lauren"/>
    <n v="13850"/>
    <d v="2017-08-21T00:00:00"/>
    <n v="4.3611111111111107"/>
    <n v="42968"/>
    <n v="4.3611111111111107"/>
    <m/>
    <x v="0"/>
    <m/>
    <n v="35.597857142857144"/>
    <n v="49837"/>
    <n v="200"/>
    <n v="7"/>
    <n v="1"/>
    <n v="49837"/>
    <s v="Smithland Elementary"/>
    <s v="First Grade Teacher"/>
    <m/>
    <n v="48500"/>
    <n v="56816"/>
    <n v="65132"/>
  </r>
  <r>
    <s v="Gulino"/>
    <s v="Jacqueline"/>
    <n v="10289"/>
    <d v="2007-08-16T00:00:00"/>
    <n v="14.375"/>
    <n v="39310"/>
    <n v="14.375"/>
    <m/>
    <x v="0"/>
    <m/>
    <n v="41.007857142857141"/>
    <n v="57411"/>
    <n v="200"/>
    <n v="7"/>
    <n v="1"/>
    <n v="57411"/>
    <s v="Keister Elementary"/>
    <s v="Instructional Coach"/>
    <m/>
    <n v="48500"/>
    <n v="56816"/>
    <n v="65132"/>
  </r>
  <r>
    <s v="Gutierrez"/>
    <s v="Caralee"/>
    <n v="10290"/>
    <d v="2003-08-13T00:00:00"/>
    <n v="18.383333333333333"/>
    <n v="37846"/>
    <n v="18.383333333333333"/>
    <m/>
    <x v="0"/>
    <m/>
    <n v="37.575714285714284"/>
    <n v="52606"/>
    <n v="200"/>
    <n v="7"/>
    <n v="1"/>
    <n v="52606"/>
    <s v="Spotswood Elementary"/>
    <s v="ESL Specialist"/>
    <m/>
    <n v="48500"/>
    <n v="56816"/>
    <n v="65132"/>
  </r>
  <r>
    <s v="Hagy"/>
    <s v="Margaret"/>
    <n v="13832"/>
    <d v="2017-08-21T00:00:00"/>
    <n v="4.3611111111111107"/>
    <n v="42968"/>
    <n v="4.3611111111111107"/>
    <m/>
    <x v="0"/>
    <m/>
    <n v="36.394285714285715"/>
    <n v="50952"/>
    <n v="200"/>
    <n v="7"/>
    <n v="1"/>
    <n v="50952"/>
    <s v="Keister Elementary"/>
    <s v="Music Teacher"/>
    <m/>
    <n v="48500"/>
    <n v="56816"/>
    <n v="65132"/>
  </r>
  <r>
    <s v="Hall"/>
    <s v="Amber"/>
    <n v="14891"/>
    <d v="2020-08-12T00:00:00"/>
    <n v="1.3861111111111111"/>
    <n v="44055"/>
    <n v="1.3861111111111111"/>
    <m/>
    <x v="0"/>
    <m/>
    <n v="35.597857142857144"/>
    <n v="49837"/>
    <n v="200"/>
    <n v="7"/>
    <n v="1"/>
    <n v="49837"/>
    <s v="Bluestone Elementary"/>
    <s v="SPED Teacher"/>
    <m/>
    <n v="48500"/>
    <n v="56816"/>
    <n v="65132"/>
  </r>
  <r>
    <s v="Hall"/>
    <s v="Carol"/>
    <n v="10670"/>
    <d v="2002-08-16T00:00:00"/>
    <n v="19.375"/>
    <n v="37484"/>
    <n v="19.375"/>
    <m/>
    <x v="0"/>
    <m/>
    <n v="40.299285714285716"/>
    <n v="56419"/>
    <n v="200"/>
    <n v="7"/>
    <n v="1"/>
    <n v="56419"/>
    <s v="Thomas Harrison Middle"/>
    <s v="Science Teacher"/>
    <m/>
    <n v="48500"/>
    <n v="56816"/>
    <n v="65132"/>
  </r>
  <r>
    <s v="Hall"/>
    <s v="Meredith"/>
    <n v="14878"/>
    <d v="2020-08-12T00:00:00"/>
    <n v="1.3861111111111111"/>
    <n v="44055"/>
    <n v="1.3861111111111111"/>
    <m/>
    <x v="0"/>
    <m/>
    <n v="34.865000000000002"/>
    <n v="48811"/>
    <n v="200"/>
    <n v="7"/>
    <n v="1"/>
    <n v="48811"/>
    <s v="Waterman Elementary"/>
    <s v="Fifth Grade Teacher"/>
    <m/>
    <n v="48500"/>
    <n v="56816"/>
    <n v="65132"/>
  </r>
  <r>
    <s v="Hall"/>
    <s v="Sammantha"/>
    <n v="13852"/>
    <d v="2017-08-21T00:00:00"/>
    <n v="4.3611111111111107"/>
    <n v="42968"/>
    <n v="4.3611111111111107"/>
    <m/>
    <x v="0"/>
    <m/>
    <n v="35.597857142857144"/>
    <n v="49837"/>
    <n v="200"/>
    <n v="7"/>
    <n v="1"/>
    <n v="49837"/>
    <s v="Spotswood Elementary"/>
    <s v="Fourth Grade Teacher"/>
    <m/>
    <n v="48500"/>
    <n v="56816"/>
    <n v="65132"/>
  </r>
  <r>
    <s v="Hanks"/>
    <s v="Sedona"/>
    <n v="14113"/>
    <d v="2018-01-17T00:00:00"/>
    <n v="3.9555555555555557"/>
    <n v="43117"/>
    <n v="3.9555555555555557"/>
    <m/>
    <x v="0"/>
    <m/>
    <n v="35.007857142857141"/>
    <n v="49011"/>
    <n v="200"/>
    <n v="7"/>
    <n v="1"/>
    <n v="49011"/>
    <s v="Bluestone Elementary"/>
    <s v="Fourth Grade Teacher"/>
    <m/>
    <n v="48500"/>
    <n v="56816"/>
    <n v="65132"/>
  </r>
  <r>
    <s v="Harrison"/>
    <s v="Joni"/>
    <n v="10673"/>
    <d v="1996-10-15T00:00:00"/>
    <n v="25.211111111111112"/>
    <n v="35353"/>
    <n v="25.211111111111112"/>
    <m/>
    <x v="0"/>
    <m/>
    <n v="41.482142857142854"/>
    <n v="58075"/>
    <n v="200"/>
    <n v="7"/>
    <n v="1"/>
    <n v="58075"/>
    <s v="Thomas Harrison Middle"/>
    <s v="English Teacher"/>
    <m/>
    <n v="48500"/>
    <n v="56816"/>
    <n v="65132"/>
  </r>
  <r>
    <s v="Hart"/>
    <s v="Bethany"/>
    <n v="12857"/>
    <d v="2014-08-11T00:00:00"/>
    <n v="7.3888888888888893"/>
    <n v="41862"/>
    <n v="7.3888888888888893"/>
    <m/>
    <x v="0"/>
    <m/>
    <n v="36.780714285714282"/>
    <n v="51493"/>
    <n v="200"/>
    <n v="7"/>
    <n v="1"/>
    <n v="51493"/>
    <s v="Stone Spring Elementary"/>
    <s v="Developmental Reading Teacher"/>
    <m/>
    <n v="48500"/>
    <n v="56816"/>
    <n v="65132"/>
  </r>
  <r>
    <s v="Hart"/>
    <s v="Julia"/>
    <n v="12794"/>
    <d v="2014-08-11T00:00:00"/>
    <n v="7.3888888888888893"/>
    <n v="41862"/>
    <n v="7.3888888888888893"/>
    <m/>
    <x v="0"/>
    <m/>
    <n v="38.431428571428569"/>
    <n v="53804"/>
    <n v="200"/>
    <n v="7"/>
    <n v="1"/>
    <n v="53804"/>
    <s v="Thomas Harrison Middle"/>
    <s v="Special Education Teacher"/>
    <m/>
    <n v="48500"/>
    <n v="56816"/>
    <n v="65132"/>
  </r>
  <r>
    <s v="Haverty"/>
    <s v="Alison"/>
    <n v="14901"/>
    <d v="2020-08-12T00:00:00"/>
    <n v="1.3861111111111111"/>
    <n v="44055"/>
    <n v="1.3861111111111111"/>
    <m/>
    <x v="0"/>
    <m/>
    <n v="35.952857142857141"/>
    <n v="50334"/>
    <n v="200"/>
    <n v="7"/>
    <n v="1"/>
    <n v="50334"/>
    <s v="Waterman Elementary"/>
    <s v="First Grade Teacher"/>
    <m/>
    <n v="48500"/>
    <n v="56816"/>
    <n v="65132"/>
  </r>
  <r>
    <s v="Hayden"/>
    <s v="Maria"/>
    <n v="15112"/>
    <d v="2021-08-04T00:00:00"/>
    <n v="0.40833333333333333"/>
    <n v="44412"/>
    <n v="0.40833333333333333"/>
    <m/>
    <x v="0"/>
    <m/>
    <n v="34.642857142857146"/>
    <n v="48500"/>
    <n v="200"/>
    <n v="7"/>
    <n v="1"/>
    <n v="48500"/>
    <s v="Spotswood Elementary"/>
    <s v="First Grade Teacher"/>
    <m/>
    <n v="48500"/>
    <n v="56816"/>
    <n v="65132"/>
  </r>
  <r>
    <s v="Healy"/>
    <s v="Mark"/>
    <n v="10120"/>
    <d v="1993-08-26T00:00:00"/>
    <n v="28.347222222222221"/>
    <n v="34207"/>
    <n v="28.347222222222221"/>
    <m/>
    <x v="0"/>
    <m/>
    <n v="44.324999999999996"/>
    <n v="62055"/>
    <n v="200"/>
    <n v="7"/>
    <n v="1"/>
    <n v="62055"/>
    <s v="Harrisonburg High"/>
    <s v="Social Studies Teacher"/>
    <m/>
    <n v="48500"/>
    <n v="56816"/>
    <n v="65132"/>
  </r>
  <r>
    <s v="Healy"/>
    <s v="Virginia"/>
    <n v="10674"/>
    <d v="1990-08-22T00:00:00"/>
    <n v="31.358333333333334"/>
    <n v="33107"/>
    <n v="31.358333333333334"/>
    <m/>
    <x v="0"/>
    <m/>
    <n v="48.181428571428569"/>
    <n v="67454"/>
    <n v="200"/>
    <n v="7"/>
    <n v="1"/>
    <n v="67454"/>
    <s v="Skyline Middle"/>
    <s v="Science Teacher"/>
    <m/>
    <n v="48500"/>
    <n v="56816"/>
    <n v="65132"/>
  </r>
  <r>
    <s v="Heatwole"/>
    <s v="Lisa"/>
    <n v="12018"/>
    <d v="2011-08-15T00:00:00"/>
    <n v="10.377777777777778"/>
    <n v="40770"/>
    <n v="10.377777777777778"/>
    <m/>
    <x v="0"/>
    <m/>
    <n v="39.505000000000003"/>
    <n v="55307"/>
    <n v="200"/>
    <n v="7"/>
    <n v="1"/>
    <n v="55307"/>
    <s v="Elon Rhodes"/>
    <s v="VPI Teacher"/>
    <m/>
    <n v="48500"/>
    <n v="56816"/>
    <n v="65132"/>
  </r>
  <r>
    <s v="Heishman"/>
    <s v="Sara"/>
    <n v="13837"/>
    <d v="2017-08-21T00:00:00"/>
    <n v="4.3611111111111107"/>
    <n v="42968"/>
    <n v="4.3611111111111107"/>
    <m/>
    <x v="0"/>
    <m/>
    <n v="36.119999999999997"/>
    <n v="50568"/>
    <n v="200"/>
    <n v="7"/>
    <n v="1"/>
    <n v="50568"/>
    <s v="Stone Spring Elementary"/>
    <s v="Second Grade Teacher"/>
    <m/>
    <n v="48500"/>
    <n v="56816"/>
    <n v="65132"/>
  </r>
  <r>
    <s v="Henderson"/>
    <s v="Amy"/>
    <n v="10450"/>
    <d v="1999-08-19T00:00:00"/>
    <n v="22.366666666666667"/>
    <n v="36391"/>
    <n v="22.366666666666667"/>
    <m/>
    <x v="1"/>
    <m/>
    <n v="43.834133333333327"/>
    <n v="82189"/>
    <n v="250"/>
    <n v="7.5"/>
    <n v="1"/>
    <n v="82189"/>
    <s v="Central Office"/>
    <s v="Elementary Mathematics Coordinator"/>
    <m/>
    <n v="72151"/>
    <n v="85836"/>
    <n v="99521"/>
  </r>
  <r>
    <s v="Hendricks"/>
    <s v="Randa"/>
    <n v="14286"/>
    <d v="2018-08-13T00:00:00"/>
    <n v="3.3833333333333333"/>
    <n v="43325"/>
    <n v="3.3833333333333333"/>
    <m/>
    <x v="0"/>
    <m/>
    <n v="39.901428571428575"/>
    <n v="55862"/>
    <n v="200"/>
    <n v="7"/>
    <n v="1"/>
    <n v="55862"/>
    <s v="Skyline Middle"/>
    <s v="Social Studies Teacher"/>
    <m/>
    <n v="48500"/>
    <n v="56816"/>
    <n v="65132"/>
  </r>
  <r>
    <s v="Henschel"/>
    <s v="Rachel"/>
    <n v="13239"/>
    <d v="2015-08-17T00:00:00"/>
    <n v="6.3722222222222218"/>
    <n v="42233"/>
    <n v="6.3722222222222218"/>
    <m/>
    <x v="0"/>
    <m/>
    <n v="36.394285714285715"/>
    <n v="50952"/>
    <n v="200"/>
    <n v="7"/>
    <n v="1"/>
    <n v="50952"/>
    <s v="Spotswood Elementary"/>
    <s v="Content Support Specialist"/>
    <m/>
    <n v="48500"/>
    <n v="56816"/>
    <n v="65132"/>
  </r>
  <r>
    <s v="Henschel"/>
    <s v="Ryan"/>
    <n v="13187"/>
    <d v="2015-08-17T00:00:00"/>
    <n v="6.3722222222222218"/>
    <n v="42233"/>
    <n v="6.3722222222222218"/>
    <m/>
    <x v="0"/>
    <m/>
    <n v="36.394285714285715"/>
    <n v="50952"/>
    <n v="200"/>
    <n v="7"/>
    <n v="1"/>
    <n v="50952"/>
    <s v="Harrisonburg High"/>
    <s v="Math Teacher"/>
    <m/>
    <n v="48500"/>
    <n v="56816"/>
    <n v="65132"/>
  </r>
  <r>
    <s v="Henshaw"/>
    <s v="Shannon"/>
    <n v="14349"/>
    <d v="2018-08-13T00:00:00"/>
    <n v="3.3833333333333333"/>
    <n v="43325"/>
    <n v="3.3833333333333333"/>
    <m/>
    <x v="0"/>
    <m/>
    <n v="35.25"/>
    <n v="49350"/>
    <n v="200"/>
    <n v="7"/>
    <n v="1"/>
    <n v="49350"/>
    <s v="Thomas Harrison Middle"/>
    <s v="English Teacher"/>
    <m/>
    <n v="48500"/>
    <n v="56816"/>
    <n v="65132"/>
  </r>
  <r>
    <s v="Herlan"/>
    <s v="Hans"/>
    <n v="11558"/>
    <d v="2009-07-31T00:00:00"/>
    <n v="12.419444444444444"/>
    <n v="40025"/>
    <n v="12.419444444444444"/>
    <m/>
    <x v="0"/>
    <m/>
    <n v="45.055194805194802"/>
    <n v="69385"/>
    <n v="220"/>
    <n v="7"/>
    <n v="1"/>
    <n v="69385"/>
    <s v="Skyline Middle"/>
    <s v="Technology Education Teacher"/>
    <m/>
    <n v="48500"/>
    <n v="56816"/>
    <n v="65132"/>
  </r>
  <r>
    <s v="Hernandez"/>
    <s v="Marisol"/>
    <n v="14600"/>
    <d v="2019-08-12T00:00:00"/>
    <n v="2.3861111111111111"/>
    <n v="43689"/>
    <n v="2.3861111111111111"/>
    <m/>
    <x v="0"/>
    <m/>
    <n v="35.007857142857141"/>
    <n v="49011"/>
    <n v="200"/>
    <n v="7"/>
    <n v="1"/>
    <n v="49011"/>
    <s v="Stone Spring Elementary"/>
    <s v="Kindergarten Teacher"/>
    <m/>
    <n v="48500"/>
    <n v="56816"/>
    <n v="65132"/>
  </r>
  <r>
    <s v="Hernandez Velazquez"/>
    <s v="Marina"/>
    <n v="15077"/>
    <d v="2021-08-04T00:00:00"/>
    <n v="0.40833333333333333"/>
    <n v="44412"/>
    <n v="0.40833333333333333"/>
    <m/>
    <x v="0"/>
    <m/>
    <n v="46.522857142857148"/>
    <n v="65132"/>
    <n v="200"/>
    <n v="7"/>
    <n v="1"/>
    <n v="65132"/>
    <s v="Smithland Elementary"/>
    <s v="First Grade DL Teacher"/>
    <m/>
    <n v="48500"/>
    <n v="56816"/>
    <n v="65132"/>
  </r>
  <r>
    <s v="Hernon"/>
    <s v="Eileen"/>
    <n v="14603"/>
    <d v="2019-08-12T00:00:00"/>
    <n v="2.3861111111111111"/>
    <n v="43689"/>
    <n v="2.3861111111111111"/>
    <m/>
    <x v="0"/>
    <m/>
    <n v="35.007857142857141"/>
    <n v="49011"/>
    <n v="200"/>
    <n v="7"/>
    <n v="1"/>
    <n v="49011"/>
    <s v="Bluestone Elementary"/>
    <s v="Third Grade Teacher"/>
    <m/>
    <n v="48500"/>
    <n v="56816"/>
    <n v="65132"/>
  </r>
  <r>
    <s v="Hershberger"/>
    <s v="Rachel"/>
    <n v="10121"/>
    <d v="1996-08-13T00:00:00"/>
    <n v="25.383333333333333"/>
    <n v="35290"/>
    <n v="25.383333333333333"/>
    <m/>
    <x v="0"/>
    <m/>
    <n v="43.600714285714282"/>
    <n v="61041"/>
    <n v="200"/>
    <n v="7"/>
    <n v="1"/>
    <n v="61041"/>
    <s v="Harrisonburg High"/>
    <s v="ESL Specialist"/>
    <m/>
    <n v="48500"/>
    <n v="56816"/>
    <n v="65132"/>
  </r>
  <r>
    <s v="Hertzler"/>
    <s v="Gerald"/>
    <n v="10122"/>
    <d v="1991-08-23T00:00:00"/>
    <n v="30.355555555555554"/>
    <n v="33473"/>
    <n v="30.355555555555554"/>
    <m/>
    <x v="0"/>
    <m/>
    <n v="50.48571428571428"/>
    <n v="70680"/>
    <n v="200"/>
    <n v="7"/>
    <n v="1"/>
    <n v="70680"/>
    <s v="Harrisonburg High"/>
    <s v="Science Teacher"/>
    <m/>
    <n v="48500"/>
    <n v="56816"/>
    <n v="65132"/>
  </r>
  <r>
    <s v="Hill"/>
    <s v="Kenneth"/>
    <n v="15059"/>
    <d v="2021-07-01T00:00:00"/>
    <n v="0.5"/>
    <n v="44378"/>
    <n v="0.5"/>
    <m/>
    <x v="1"/>
    <m/>
    <n v="50.307733333333331"/>
    <n v="94327"/>
    <n v="250"/>
    <n v="7.5"/>
    <n v="1"/>
    <n v="94327"/>
    <s v="Central Office"/>
    <s v="Coordinator of SPED"/>
    <m/>
    <n v="72151"/>
    <n v="85836"/>
    <n v="99521"/>
  </r>
  <r>
    <s v="Hill"/>
    <s v="Siquina"/>
    <n v="12553"/>
    <d v="2013-09-09T00:00:00"/>
    <n v="8.3111111111111118"/>
    <n v="41526"/>
    <n v="8.3111111111111118"/>
    <m/>
    <x v="0"/>
    <m/>
    <n v="35.597857142857144"/>
    <n v="49837"/>
    <n v="200"/>
    <n v="7"/>
    <n v="1"/>
    <n v="49837"/>
    <s v="Smithland Elementary"/>
    <s v="Third Grade Teacher"/>
    <m/>
    <n v="48500"/>
    <n v="56816"/>
    <n v="65132"/>
  </r>
  <r>
    <s v="Hissong"/>
    <s v="Nathan"/>
    <n v="12303"/>
    <d v="2012-08-14T00:00:00"/>
    <n v="9.3805555555555564"/>
    <n v="41135"/>
    <n v="9.3805555555555564"/>
    <m/>
    <x v="0"/>
    <m/>
    <n v="42.532467532467535"/>
    <n v="65500"/>
    <n v="220"/>
    <n v="7"/>
    <n v="1"/>
    <n v="65500"/>
    <s v="Harrisonburg High"/>
    <s v="Itrt"/>
    <m/>
    <n v="48500"/>
    <n v="56816"/>
    <n v="65132"/>
  </r>
  <r>
    <s v="Hite"/>
    <s v="Tracey"/>
    <n v="14059"/>
    <d v="2018-02-05T00:00:00"/>
    <n v="3.9055555555555554"/>
    <n v="43136"/>
    <n v="3.9055555555555554"/>
    <m/>
    <x v="0"/>
    <m/>
    <n v="39.035000000000004"/>
    <n v="54649"/>
    <n v="200"/>
    <n v="7"/>
    <n v="1"/>
    <n v="54649"/>
    <s v="Waterman Elementary"/>
    <s v="First Grade Teacher"/>
    <m/>
    <n v="48500"/>
    <n v="56816"/>
    <n v="65132"/>
  </r>
  <r>
    <s v="Holland"/>
    <s v="Megan"/>
    <n v="13137"/>
    <d v="2015-08-17T00:00:00"/>
    <n v="6.3722222222222218"/>
    <n v="42233"/>
    <n v="6.3722222222222218"/>
    <m/>
    <x v="0"/>
    <m/>
    <n v="37.575714285714284"/>
    <n v="52606"/>
    <n v="200"/>
    <n v="7"/>
    <n v="1"/>
    <n v="52606"/>
    <s v="Harrisonburg High"/>
    <s v="Math Teacher"/>
    <m/>
    <n v="48500"/>
    <n v="56816"/>
    <n v="65132"/>
  </r>
  <r>
    <s v="Holsinger"/>
    <s v="Vicki"/>
    <n v="14897"/>
    <d v="2020-08-12T00:00:00"/>
    <n v="1.3861111111111111"/>
    <n v="44055"/>
    <n v="1.3861111111111111"/>
    <m/>
    <x v="0"/>
    <m/>
    <n v="41.007857142857141"/>
    <n v="57411"/>
    <n v="200"/>
    <n v="7"/>
    <n v="1"/>
    <n v="57411"/>
    <s v="Central Office"/>
    <s v="SPED Instructional Interventionist"/>
    <m/>
    <n v="48500"/>
    <n v="56816"/>
    <n v="65132"/>
  </r>
  <r>
    <s v="Hook"/>
    <s v="James"/>
    <n v="10123"/>
    <d v="1993-08-26T00:00:00"/>
    <n v="28.347222222222221"/>
    <n v="34207"/>
    <n v="28.347222222222221"/>
    <m/>
    <x v="0"/>
    <m/>
    <n v="44.324999999999996"/>
    <n v="62055"/>
    <n v="200"/>
    <n v="7"/>
    <n v="1"/>
    <n v="62055"/>
    <s v="Harrisonburg High"/>
    <s v="Social Studies Teacher"/>
    <m/>
    <n v="48500"/>
    <n v="56816"/>
    <n v="65132"/>
  </r>
  <r>
    <s v="Hook"/>
    <s v="Kim"/>
    <n v="10124"/>
    <d v="1997-09-09T00:00:00"/>
    <n v="24.31111111111111"/>
    <n v="35682"/>
    <n v="24.31111111111111"/>
    <m/>
    <x v="0"/>
    <m/>
    <n v="41.879220779220773"/>
    <n v="64494"/>
    <n v="220"/>
    <n v="7"/>
    <n v="1"/>
    <n v="64494"/>
    <s v="Harrisonburg High"/>
    <s v="Spanish Teacher"/>
    <m/>
    <n v="48500"/>
    <n v="56816"/>
    <n v="65132"/>
  </r>
  <r>
    <s v="Hoover"/>
    <s v="Emma"/>
    <n v="14893"/>
    <d v="2020-08-12T00:00:00"/>
    <n v="1.3861111111111111"/>
    <n v="44055"/>
    <n v="1.3861111111111111"/>
    <m/>
    <x v="0"/>
    <m/>
    <n v="34.865000000000002"/>
    <n v="48811"/>
    <n v="200"/>
    <n v="7"/>
    <n v="1"/>
    <n v="48811"/>
    <s v="Harrisonburg High"/>
    <s v="History Teacher"/>
    <m/>
    <n v="48500"/>
    <n v="56816"/>
    <n v="65132"/>
  </r>
  <r>
    <s v="Horne"/>
    <s v="Amanda"/>
    <n v="10452"/>
    <d v="2005-08-11T00:00:00"/>
    <n v="16.388888888888889"/>
    <n v="38575"/>
    <n v="16.388888888888889"/>
    <m/>
    <x v="0"/>
    <m/>
    <n v="40.693197278911562"/>
    <n v="59819"/>
    <n v="210"/>
    <n v="7"/>
    <n v="1"/>
    <n v="59819"/>
    <s v="Skyline Middle"/>
    <s v="ESL Specialist"/>
    <m/>
    <n v="48500"/>
    <n v="56816"/>
    <n v="65132"/>
  </r>
  <r>
    <s v="Hostetler"/>
    <s v="Emily"/>
    <n v="14894"/>
    <d v="2020-08-12T00:00:00"/>
    <n v="1.3861111111111111"/>
    <n v="44055"/>
    <n v="1.3861111111111111"/>
    <m/>
    <x v="0"/>
    <m/>
    <n v="34.865000000000002"/>
    <n v="48811"/>
    <n v="200"/>
    <n v="7"/>
    <n v="1"/>
    <n v="48811"/>
    <s v="Thomas Harrison Middle"/>
    <s v="Math Teacher"/>
    <m/>
    <n v="48500"/>
    <n v="56816"/>
    <n v="65132"/>
  </r>
  <r>
    <s v="Hostetter"/>
    <s v="Heather"/>
    <n v="12583"/>
    <d v="2013-08-13T00:00:00"/>
    <n v="8.3833333333333329"/>
    <n v="41499"/>
    <n v="8.3833333333333329"/>
    <m/>
    <x v="0"/>
    <m/>
    <n v="37.172142857142852"/>
    <n v="52041"/>
    <n v="200"/>
    <n v="7"/>
    <n v="1"/>
    <n v="52041"/>
    <s v="Harrisonburg High"/>
    <s v="English Teacher"/>
    <m/>
    <n v="48500"/>
    <n v="56816"/>
    <n v="65132"/>
  </r>
  <r>
    <s v="Hostetter"/>
    <s v="John"/>
    <n v="13819"/>
    <d v="2017-08-21T00:00:00"/>
    <n v="4.3611111111111107"/>
    <n v="42968"/>
    <n v="4.3611111111111107"/>
    <m/>
    <x v="0"/>
    <m/>
    <n v="41.879285714285707"/>
    <n v="58631"/>
    <n v="200"/>
    <n v="7"/>
    <n v="1"/>
    <n v="58631"/>
    <s v="Skyline Middle"/>
    <s v="English Teacher"/>
    <m/>
    <n v="48500"/>
    <n v="56816"/>
    <n v="65132"/>
  </r>
  <r>
    <s v="Houff"/>
    <s v="Bethany"/>
    <n v="10127"/>
    <d v="2003-08-13T00:00:00"/>
    <n v="18.383333333333333"/>
    <n v="37846"/>
    <n v="18.383333333333333"/>
    <m/>
    <x v="0"/>
    <m/>
    <n v="39.901428571428575"/>
    <n v="55862"/>
    <n v="200"/>
    <n v="7"/>
    <n v="1"/>
    <n v="55862"/>
    <s v="Harrisonburg High"/>
    <s v="Choral/Music Teacher"/>
    <m/>
    <n v="48500"/>
    <n v="56816"/>
    <n v="65132"/>
  </r>
  <r>
    <s v="Hudson"/>
    <s v="Brooke"/>
    <n v="13268"/>
    <d v="2015-08-21T00:00:00"/>
    <n v="6.3611111111111107"/>
    <n v="42237"/>
    <n v="6.3611111111111107"/>
    <m/>
    <x v="0"/>
    <m/>
    <n v="36.394285714285715"/>
    <n v="50952"/>
    <n v="200"/>
    <n v="7"/>
    <n v="1"/>
    <n v="50952"/>
    <s v="Harrisonburg High"/>
    <s v="Social Studies Teacher"/>
    <m/>
    <n v="48500"/>
    <n v="56816"/>
    <n v="65132"/>
  </r>
  <r>
    <s v="Huffman"/>
    <s v="Jennifer"/>
    <n v="10454"/>
    <d v="2005-06-02T00:00:00"/>
    <n v="16.580555555555556"/>
    <n v="38505"/>
    <n v="16.580555555555556"/>
    <m/>
    <x v="0"/>
    <m/>
    <n v="39.505000000000003"/>
    <n v="55307"/>
    <n v="200"/>
    <n v="7"/>
    <n v="1"/>
    <n v="55307"/>
    <s v="Bluestone Elementary"/>
    <s v="Special Education Teacher"/>
    <m/>
    <n v="48500"/>
    <n v="56816"/>
    <n v="65132"/>
  </r>
  <r>
    <s v="Humphreys"/>
    <s v="Tyler"/>
    <n v="15062"/>
    <d v="2021-08-04T00:00:00"/>
    <n v="0.40833333333333333"/>
    <n v="44412"/>
    <n v="0.40833333333333333"/>
    <m/>
    <x v="0"/>
    <m/>
    <n v="35.25"/>
    <n v="49350"/>
    <n v="200"/>
    <n v="7"/>
    <n v="1"/>
    <n v="49350"/>
    <s v="Spotswood Elementary"/>
    <s v="Music Teacher"/>
    <m/>
    <n v="48500"/>
    <n v="56816"/>
    <n v="65132"/>
  </r>
  <r>
    <s v="Hunt"/>
    <s v="Michelle"/>
    <n v="12247"/>
    <d v="2012-03-21T00:00:00"/>
    <n v="9.7777777777777786"/>
    <n v="40989"/>
    <n v="9.7777777777777786"/>
    <m/>
    <x v="0"/>
    <m/>
    <n v="37.562142857142859"/>
    <n v="52587"/>
    <n v="200"/>
    <n v="7"/>
    <n v="1"/>
    <n v="52587"/>
    <s v="Smithland Elementary"/>
    <s v="Second Grade Teacher"/>
    <m/>
    <n v="48500"/>
    <n v="56816"/>
    <n v="65132"/>
  </r>
  <r>
    <s v="Hunter"/>
    <s v="Elizabeth"/>
    <n v="14882"/>
    <d v="2020-08-12T00:00:00"/>
    <n v="1.3861111111111111"/>
    <n v="44055"/>
    <n v="1.3861111111111111"/>
    <m/>
    <x v="0"/>
    <m/>
    <n v="37.562142857142859"/>
    <n v="52587"/>
    <n v="200"/>
    <n v="7"/>
    <n v="1"/>
    <n v="52587"/>
    <s v="Harrisonburg High"/>
    <s v="Science Teacher"/>
    <m/>
    <n v="48500"/>
    <n v="56816"/>
    <n v="65132"/>
  </r>
  <r>
    <s v="Hurst De Mazariegos"/>
    <s v="Janelle"/>
    <n v="10698"/>
    <d v="2000-08-16T00:00:00"/>
    <n v="21.375"/>
    <n v="36754"/>
    <n v="21.375"/>
    <m/>
    <x v="0"/>
    <m/>
    <n v="43.382857142857141"/>
    <n v="60736"/>
    <n v="200"/>
    <n v="7"/>
    <n v="1"/>
    <n v="60736"/>
    <s v="Thomas Harrison Middle"/>
    <s v="Science Teacher"/>
    <m/>
    <n v="48500"/>
    <n v="56816"/>
    <n v="65132"/>
  </r>
  <r>
    <s v="Hussack"/>
    <s v="Emilee"/>
    <n v="13060"/>
    <d v="2015-01-27T00:00:00"/>
    <n v="6.927777777777778"/>
    <n v="42031"/>
    <n v="6.927777777777778"/>
    <m/>
    <x v="0"/>
    <m/>
    <n v="37.172142857142852"/>
    <n v="52041"/>
    <n v="200"/>
    <n v="7"/>
    <n v="1"/>
    <n v="52041"/>
    <s v="Harrisonburg High"/>
    <s v="English Teacher"/>
    <m/>
    <n v="48500"/>
    <n v="56816"/>
    <n v="65132"/>
  </r>
  <r>
    <s v="Huyard"/>
    <s v="Dwight"/>
    <n v="13594"/>
    <d v="2016-08-15T00:00:00"/>
    <n v="5.3777777777777782"/>
    <n v="42597"/>
    <n v="5.3777777777777782"/>
    <m/>
    <x v="0"/>
    <m/>
    <n v="41.482142857142854"/>
    <n v="58075"/>
    <n v="200"/>
    <n v="7"/>
    <n v="1"/>
    <n v="58075"/>
    <s v="Skyline Middle"/>
    <s v="Science Teacher"/>
    <m/>
    <n v="48500"/>
    <n v="56816"/>
    <n v="65132"/>
  </r>
  <r>
    <s v="Hyde"/>
    <s v="Heather"/>
    <n v="13534"/>
    <d v="2016-08-15T00:00:00"/>
    <n v="5.3777777777777782"/>
    <n v="42597"/>
    <n v="5.3777777777777782"/>
    <m/>
    <x v="0"/>
    <m/>
    <n v="36.780714285714282"/>
    <n v="51493"/>
    <n v="200"/>
    <n v="7"/>
    <n v="1"/>
    <n v="51493"/>
    <s v="Bluestone Elementary"/>
    <s v="Speech Pathologist"/>
    <m/>
    <n v="48500"/>
    <n v="56816"/>
    <n v="65132"/>
  </r>
  <r>
    <s v="Imber"/>
    <s v="Brooke"/>
    <n v="14884"/>
    <d v="2020-08-12T00:00:00"/>
    <n v="1.3861111111111111"/>
    <n v="44055"/>
    <n v="1.3861111111111111"/>
    <m/>
    <x v="0"/>
    <m/>
    <n v="35.25"/>
    <n v="49350"/>
    <n v="200"/>
    <n v="7"/>
    <n v="1"/>
    <n v="49350"/>
    <s v="Keister Elementary"/>
    <s v="Art Teacher"/>
    <m/>
    <n v="48500"/>
    <n v="56816"/>
    <n v="65132"/>
  </r>
  <r>
    <s v="Imgram"/>
    <s v="Emily"/>
    <n v="12383"/>
    <d v="2012-08-31T00:00:00"/>
    <n v="9.3361111111111104"/>
    <n v="41152"/>
    <n v="9.3361111111111104"/>
    <m/>
    <x v="0"/>
    <m/>
    <n v="36.394285714285715"/>
    <n v="50952"/>
    <n v="200"/>
    <n v="7"/>
    <n v="1"/>
    <n v="50952"/>
    <s v="Spotswood Elementary"/>
    <s v="Newcomer Teacher"/>
    <m/>
    <n v="48500"/>
    <n v="56816"/>
    <n v="65132"/>
  </r>
  <r>
    <s v="Incheck"/>
    <s v="Brian"/>
    <n v="15116"/>
    <d v="2021-08-04T00:00:00"/>
    <n v="0.40833333333333333"/>
    <n v="44412"/>
    <n v="0.40833333333333333"/>
    <m/>
    <x v="0"/>
    <m/>
    <n v="36.394285714285715"/>
    <n v="25476"/>
    <n v="200"/>
    <n v="3.5"/>
    <n v="0.5"/>
    <n v="50952"/>
    <s v="Thomas Harrison Middle"/>
    <s v="Strings Teacher"/>
    <m/>
    <n v="48500"/>
    <n v="56816"/>
    <n v="65132"/>
  </r>
  <r>
    <s v="Irby"/>
    <s v="Sandra"/>
    <n v="15060"/>
    <d v="2021-08-04T00:00:00"/>
    <n v="0.40833333333333333"/>
    <n v="44412"/>
    <n v="0.40833333333333333"/>
    <m/>
    <x v="0"/>
    <m/>
    <n v="46.522857142857148"/>
    <n v="65132"/>
    <n v="200"/>
    <n v="7"/>
    <n v="1"/>
    <n v="65132"/>
    <s v="Central Office"/>
    <s v="Educational Diagnostician"/>
    <m/>
    <n v="48500"/>
    <n v="56816"/>
    <n v="65132"/>
  </r>
  <r>
    <s v="Iverson"/>
    <s v="Madeline"/>
    <n v="14741"/>
    <d v="2019-12-11T00:00:00"/>
    <n v="2.0555555555555554"/>
    <n v="43810"/>
    <n v="2.0555555555555554"/>
    <m/>
    <x v="0"/>
    <m/>
    <n v="34.865000000000002"/>
    <n v="48811"/>
    <n v="200"/>
    <n v="7"/>
    <n v="1"/>
    <n v="48811"/>
    <s v="Bluestone Elementary"/>
    <s v="Third Grade Teacher"/>
    <m/>
    <n v="48500"/>
    <n v="56816"/>
    <n v="65132"/>
  </r>
  <r>
    <s v="Jablonski"/>
    <s v="Caleb"/>
    <n v="12447"/>
    <d v="2012-11-06T00:00:00"/>
    <n v="9.1527777777777786"/>
    <n v="41219"/>
    <n v="9.1527777777777786"/>
    <m/>
    <x v="0"/>
    <m/>
    <n v="37.172142857142852"/>
    <n v="52041"/>
    <n v="200"/>
    <n v="7"/>
    <n v="1"/>
    <n v="52041"/>
    <s v="Skyline Middle School"/>
    <s v="Math Teacher"/>
    <m/>
    <n v="48500"/>
    <n v="56816"/>
    <n v="65132"/>
  </r>
  <r>
    <s v="Jackson"/>
    <s v="Andrew"/>
    <n v="10211"/>
    <d v="1993-08-23T00:00:00"/>
    <n v="28.355555555555554"/>
    <n v="34204"/>
    <n v="28.355555555555554"/>
    <m/>
    <x v="1"/>
    <m/>
    <n v="52.2256"/>
    <n v="97923"/>
    <n v="250"/>
    <n v="7.5"/>
    <n v="1"/>
    <n v="97923"/>
    <s v="Central Office"/>
    <s v="Secondary Science Coordinator"/>
    <m/>
    <n v="72151"/>
    <n v="85836"/>
    <n v="99521"/>
  </r>
  <r>
    <s v="Jackson"/>
    <s v="English"/>
    <n v="14899"/>
    <d v="2020-08-12T00:00:00"/>
    <n v="1.3861111111111111"/>
    <n v="44055"/>
    <n v="1.3861111111111111"/>
    <m/>
    <x v="0"/>
    <m/>
    <n v="34.865000000000002"/>
    <n v="48811"/>
    <n v="200"/>
    <n v="7"/>
    <n v="1"/>
    <n v="48811"/>
    <s v="Smithland Elementary"/>
    <s v="Fifth Grade Teacher"/>
    <m/>
    <n v="48500"/>
    <n v="56816"/>
    <n v="65132"/>
  </r>
  <r>
    <s v="Jackson"/>
    <s v="Teresa"/>
    <n v="10680"/>
    <d v="2002-03-12T00:00:00"/>
    <n v="19.802777777777777"/>
    <n v="37327"/>
    <n v="19.802777777777777"/>
    <m/>
    <x v="0"/>
    <m/>
    <n v="44.325170068027212"/>
    <n v="65158"/>
    <n v="210"/>
    <n v="7"/>
    <n v="1"/>
    <n v="65158"/>
    <s v="Thomas Harrison Middle"/>
    <s v="Family Consumer Science Teacher"/>
    <m/>
    <n v="48500"/>
    <n v="56816"/>
    <n v="65132"/>
  </r>
  <r>
    <s v="Jacobs"/>
    <s v="Marissa"/>
    <n v="12611"/>
    <d v="2013-08-13T00:00:00"/>
    <n v="8.3833333333333329"/>
    <n v="41499"/>
    <n v="8.3833333333333329"/>
    <m/>
    <x v="0"/>
    <m/>
    <n v="36.780714285714282"/>
    <n v="51493"/>
    <n v="200"/>
    <n v="7"/>
    <n v="1"/>
    <n v="51493"/>
    <s v="Smithland Elementary"/>
    <s v="Kindergarten Teacher"/>
    <m/>
    <n v="48500"/>
    <n v="56816"/>
    <n v="65132"/>
  </r>
  <r>
    <s v="Jarrett"/>
    <s v="Christiana"/>
    <n v="12563"/>
    <d v="2013-08-13T00:00:00"/>
    <n v="8.3833333333333329"/>
    <n v="41499"/>
    <n v="8.3833333333333329"/>
    <m/>
    <x v="0"/>
    <m/>
    <n v="37.562142857142859"/>
    <n v="52587"/>
    <n v="200"/>
    <n v="7"/>
    <n v="1"/>
    <n v="52587"/>
    <s v="Waterman Elementary"/>
    <s v="Fifth Grade Teacher"/>
    <m/>
    <n v="48500"/>
    <n v="56816"/>
    <n v="65132"/>
  </r>
  <r>
    <s v="Jennings"/>
    <s v="Michael"/>
    <n v="14502"/>
    <d v="2019-08-12T00:00:00"/>
    <n v="2.3861111111111111"/>
    <n v="43689"/>
    <n v="2.3861111111111111"/>
    <m/>
    <x v="0"/>
    <m/>
    <n v="36.394285714285715"/>
    <n v="50952"/>
    <n v="200"/>
    <n v="7"/>
    <n v="1"/>
    <n v="50952"/>
    <s v="Thomas Harrison Middle"/>
    <s v="CTE Teacher"/>
    <m/>
    <n v="48500"/>
    <n v="56816"/>
    <n v="65132"/>
  </r>
  <r>
    <s v="Jerlinski"/>
    <s v="Chloe"/>
    <n v="12534"/>
    <d v="2013-04-15T00:00:00"/>
    <n v="8.7111111111111104"/>
    <n v="41379"/>
    <n v="8.7111111111111104"/>
    <m/>
    <x v="3"/>
    <m/>
    <n v="41.806400000000004"/>
    <n v="78387"/>
    <n v="250"/>
    <n v="7.5"/>
    <n v="1"/>
    <n v="78387"/>
    <s v="Central Office"/>
    <s v="School Social Worker"/>
    <m/>
    <n v="68122"/>
    <n v="79259"/>
    <n v="90396"/>
  </r>
  <r>
    <s v="Johnson"/>
    <s v="Rosanna"/>
    <n v="13826"/>
    <d v="2017-08-21T00:00:00"/>
    <n v="4.3611111111111107"/>
    <n v="42968"/>
    <n v="4.3611111111111107"/>
    <m/>
    <x v="0"/>
    <m/>
    <n v="37.562142857142859"/>
    <n v="52587"/>
    <n v="200"/>
    <n v="7"/>
    <n v="1"/>
    <n v="52587"/>
    <s v="Harrisonburg High"/>
    <s v="English Teacher"/>
    <m/>
    <n v="48500"/>
    <n v="56816"/>
    <n v="65132"/>
  </r>
  <r>
    <s v="Jones"/>
    <s v="Jessica"/>
    <n v="13613"/>
    <d v="2016-08-15T00:00:00"/>
    <n v="5.3777777777777782"/>
    <n v="42597"/>
    <n v="5.3777777777777782"/>
    <m/>
    <x v="0"/>
    <m/>
    <n v="37.562142857142859"/>
    <n v="52587"/>
    <n v="200"/>
    <n v="7"/>
    <n v="1"/>
    <n v="52587"/>
    <s v="Bluestone Elementary"/>
    <s v="Kindergarten Teacher"/>
    <m/>
    <n v="48500"/>
    <n v="56816"/>
    <n v="65132"/>
  </r>
  <r>
    <s v="Joyner"/>
    <s v="Kevin"/>
    <n v="12294"/>
    <d v="2012-08-14T00:00:00"/>
    <n v="9.3805555555555564"/>
    <n v="41135"/>
    <n v="9.3805555555555564"/>
    <m/>
    <x v="0"/>
    <m/>
    <n v="48.181428571428569"/>
    <n v="67454"/>
    <n v="200"/>
    <n v="7"/>
    <n v="1"/>
    <n v="67454"/>
    <s v="Skyline Middle"/>
    <s v="Health and PE Teacher"/>
    <m/>
    <n v="48500"/>
    <n v="56816"/>
    <n v="65132"/>
  </r>
  <r>
    <s v="Kasiske"/>
    <s v="Ellen"/>
    <n v="14297"/>
    <d v="2018-08-13T00:00:00"/>
    <n v="3.3833333333333333"/>
    <n v="43325"/>
    <n v="3.3833333333333333"/>
    <m/>
    <x v="0"/>
    <m/>
    <n v="36.119999999999997"/>
    <n v="25284"/>
    <n v="200"/>
    <n v="3.5"/>
    <n v="0.5"/>
    <n v="50568"/>
    <s v="Skyline Middle School"/>
    <s v="Music Teacher"/>
    <m/>
    <n v="48500"/>
    <n v="56816"/>
    <n v="65132"/>
  </r>
  <r>
    <s v="Kauffman"/>
    <s v="Janae"/>
    <n v="14259"/>
    <d v="2018-08-13T00:00:00"/>
    <n v="3.3833333333333333"/>
    <n v="43325"/>
    <n v="3.3833333333333333"/>
    <m/>
    <x v="0"/>
    <m/>
    <n v="35.25"/>
    <n v="49350"/>
    <n v="200"/>
    <n v="7"/>
    <n v="1"/>
    <n v="49350"/>
    <s v="Skyline Middle"/>
    <s v="Math Teacher"/>
    <m/>
    <n v="48500"/>
    <n v="56816"/>
    <n v="65132"/>
  </r>
  <r>
    <s v="Kauffman"/>
    <s v="Kristin"/>
    <n v="11105"/>
    <d v="2001-08-15T00:00:00"/>
    <n v="20.377777777777776"/>
    <n v="37118"/>
    <n v="20.377777777777776"/>
    <m/>
    <x v="0"/>
    <m/>
    <n v="40.692857142857143"/>
    <n v="56970"/>
    <n v="200"/>
    <n v="7"/>
    <n v="1"/>
    <n v="56970"/>
    <s v="Waterman Elementary"/>
    <s v="ESL Specialist"/>
    <m/>
    <n v="48500"/>
    <n v="56816"/>
    <n v="65132"/>
  </r>
  <r>
    <s v="Kaznosky"/>
    <s v="Karen"/>
    <n v="13883"/>
    <d v="2017-08-21T00:00:00"/>
    <n v="4.3611111111111107"/>
    <n v="42968"/>
    <n v="4.3611111111111107"/>
    <m/>
    <x v="0"/>
    <m/>
    <n v="50.485034013605443"/>
    <n v="74213"/>
    <n v="210"/>
    <n v="7"/>
    <n v="1"/>
    <n v="74213"/>
    <s v="Harrisonburg High"/>
    <s v="Media Specialist (Librarian)"/>
    <m/>
    <n v="48500"/>
    <n v="56816"/>
    <n v="65132"/>
  </r>
  <r>
    <s v="Keeley"/>
    <s v="Joan"/>
    <n v="10457"/>
    <d v="2007-06-04T00:00:00"/>
    <n v="14.574999999999999"/>
    <n v="39237"/>
    <n v="14.574999999999999"/>
    <m/>
    <x v="0"/>
    <m/>
    <n v="39.035000000000004"/>
    <n v="54649"/>
    <n v="200"/>
    <n v="7"/>
    <n v="1"/>
    <n v="54649"/>
    <s v="Spotswood Elementary"/>
    <s v="First Grade Teacher"/>
    <m/>
    <n v="48500"/>
    <n v="56816"/>
    <n v="65132"/>
  </r>
  <r>
    <s v="Keesling"/>
    <s v="Teresa"/>
    <n v="10684"/>
    <d v="1991-10-11T00:00:00"/>
    <n v="30.222222222222221"/>
    <n v="33522"/>
    <n v="30.222222222222221"/>
    <m/>
    <x v="0"/>
    <m/>
    <n v="45.055"/>
    <n v="63077"/>
    <n v="200"/>
    <n v="7"/>
    <n v="1"/>
    <n v="63077"/>
    <s v="Thomas Harrison Middle"/>
    <s v="Science Teacher"/>
    <m/>
    <n v="48500"/>
    <n v="56816"/>
    <n v="65132"/>
  </r>
  <r>
    <s v="Keller"/>
    <s v="Laura"/>
    <n v="13856"/>
    <d v="2017-08-21T00:00:00"/>
    <n v="4.3611111111111107"/>
    <n v="42968"/>
    <n v="4.3611111111111107"/>
    <m/>
    <x v="0"/>
    <m/>
    <n v="35.952857142857141"/>
    <n v="50334"/>
    <n v="200"/>
    <n v="7"/>
    <n v="1"/>
    <n v="50334"/>
    <s v="Smithland Elementary"/>
    <s v="Art Teacher"/>
    <m/>
    <n v="48500"/>
    <n v="56816"/>
    <n v="65132"/>
  </r>
  <r>
    <s v="Kelly"/>
    <s v="Roy"/>
    <n v="14290"/>
    <d v="2018-07-01T00:00:00"/>
    <n v="3.5"/>
    <n v="43282"/>
    <n v="3.5"/>
    <m/>
    <x v="0"/>
    <m/>
    <n v="36.119999999999997"/>
    <n v="50568"/>
    <n v="200"/>
    <n v="7"/>
    <n v="1"/>
    <n v="50568"/>
    <s v="Harrisonburg High"/>
    <s v="PE Teacher"/>
    <m/>
    <n v="48500"/>
    <n v="56816"/>
    <n v="65132"/>
  </r>
  <r>
    <s v="Kennedy"/>
    <s v="Eric"/>
    <n v="12882"/>
    <d v="2014-09-16T00:00:00"/>
    <n v="7.291666666666667"/>
    <n v="41898"/>
    <n v="7.291666666666667"/>
    <m/>
    <x v="0"/>
    <m/>
    <n v="34.865000000000002"/>
    <n v="48811"/>
    <n v="200"/>
    <n v="7"/>
    <n v="1"/>
    <n v="48811"/>
    <s v="Smithland/Stone Spring Elementary"/>
    <s v="School Counselor"/>
    <m/>
    <n v="48500"/>
    <n v="56816"/>
    <n v="65132"/>
  </r>
  <r>
    <s v="Kennedy"/>
    <s v="Laurissa"/>
    <n v="13601"/>
    <d v="2016-08-15T00:00:00"/>
    <n v="5.3777777777777782"/>
    <n v="42597"/>
    <n v="5.3777777777777782"/>
    <m/>
    <x v="0"/>
    <m/>
    <n v="35.597857142857144"/>
    <n v="49837"/>
    <n v="200"/>
    <n v="7"/>
    <n v="1"/>
    <n v="49837"/>
    <s v="Bluestone Elementary"/>
    <s v="Third Grade Teacher"/>
    <m/>
    <n v="48500"/>
    <n v="56816"/>
    <n v="65132"/>
  </r>
  <r>
    <s v="Kenney"/>
    <s v="Cedrice"/>
    <n v="14898"/>
    <d v="2020-08-01T00:00:00"/>
    <n v="1.4166666666666667"/>
    <n v="44044"/>
    <n v="1.4166666666666667"/>
    <m/>
    <x v="0"/>
    <m/>
    <n v="34.864935064935068"/>
    <n v="53692"/>
    <n v="220"/>
    <n v="7"/>
    <n v="1"/>
    <n v="53692"/>
    <s v="Harrisonburg High"/>
    <s v="School Counselor"/>
    <m/>
    <n v="48500"/>
    <n v="56816"/>
    <n v="65132"/>
  </r>
  <r>
    <s v="Kettelkamp"/>
    <s v="Jennifer"/>
    <n v="10296"/>
    <d v="2006-06-20T00:00:00"/>
    <n v="15.530555555555555"/>
    <n v="38888"/>
    <n v="15.530555555555555"/>
    <m/>
    <x v="0"/>
    <m/>
    <n v="39.505000000000003"/>
    <n v="55307"/>
    <n v="200"/>
    <n v="7"/>
    <n v="1"/>
    <n v="55307"/>
    <s v="Bluestone Elementary"/>
    <s v="Coach/Interventionist"/>
    <m/>
    <n v="48500"/>
    <n v="56816"/>
    <n v="65132"/>
  </r>
  <r>
    <s v="Kibler"/>
    <s v="Valerie"/>
    <n v="10158"/>
    <d v="1998-08-18T00:00:00"/>
    <n v="23.369444444444444"/>
    <n v="36025"/>
    <n v="23.369444444444444"/>
    <m/>
    <x v="0"/>
    <m/>
    <n v="51.747857142857143"/>
    <n v="72447"/>
    <n v="200"/>
    <n v="7"/>
    <n v="1"/>
    <n v="72447"/>
    <s v="Harrisonburg High"/>
    <s v="English Teacher"/>
    <m/>
    <n v="48500"/>
    <n v="56816"/>
    <n v="65132"/>
  </r>
  <r>
    <s v="Kimberlain"/>
    <s v="Heather"/>
    <n v="10297"/>
    <d v="2004-08-11T00:00:00"/>
    <n v="17.388888888888889"/>
    <n v="38210"/>
    <n v="17.388888888888889"/>
    <m/>
    <x v="0"/>
    <m/>
    <n v="39.505000000000003"/>
    <n v="55307"/>
    <n v="200"/>
    <n v="7"/>
    <n v="1"/>
    <n v="55307"/>
    <s v="Thomas Harrison Middle"/>
    <s v="Newcomer Teacher"/>
    <m/>
    <n v="48500"/>
    <n v="56816"/>
    <n v="65132"/>
  </r>
  <r>
    <s v="Kincaid"/>
    <s v="Holly"/>
    <n v="12559"/>
    <d v="2013-08-13T00:00:00"/>
    <n v="8.3833333333333329"/>
    <n v="41499"/>
    <n v="8.3833333333333329"/>
    <m/>
    <x v="0"/>
    <m/>
    <n v="44.324999999999996"/>
    <n v="62055"/>
    <n v="200"/>
    <n v="7"/>
    <n v="1"/>
    <n v="62055"/>
    <s v="Skyline Middle"/>
    <s v="Art Teacher"/>
    <m/>
    <n v="48500"/>
    <n v="56816"/>
    <n v="65132"/>
  </r>
  <r>
    <s v="King"/>
    <s v="Andrea"/>
    <n v="13531"/>
    <d v="2016-04-20T00:00:00"/>
    <n v="5.697222222222222"/>
    <n v="42480"/>
    <n v="5.697222222222222"/>
    <m/>
    <x v="0"/>
    <m/>
    <n v="35.952857142857141"/>
    <n v="50334"/>
    <n v="200"/>
    <n v="7"/>
    <n v="1"/>
    <n v="50334"/>
    <s v="Bluestone Elementary"/>
    <s v="Second Grade Teacher"/>
    <m/>
    <n v="48500"/>
    <n v="56816"/>
    <n v="65132"/>
  </r>
  <r>
    <s v="King"/>
    <s v="Erin"/>
    <n v="11262"/>
    <d v="2008-07-01T00:00:00"/>
    <n v="13.5"/>
    <n v="39630"/>
    <n v="13.5"/>
    <m/>
    <x v="4"/>
    <m/>
    <n v="47.851428571428571"/>
    <n v="66992"/>
    <n v="200"/>
    <n v="7"/>
    <n v="1"/>
    <n v="66992"/>
    <s v="Central Office"/>
    <s v="School Psychologist"/>
    <m/>
    <n v="70472"/>
    <n v="84344"/>
    <n v="98216"/>
  </r>
  <r>
    <s v="King"/>
    <s v="Lori"/>
    <n v="11547"/>
    <d v="2009-08-14T00:00:00"/>
    <n v="12.380555555555556"/>
    <n v="40039"/>
    <n v="12.380555555555556"/>
    <m/>
    <x v="0"/>
    <m/>
    <n v="43.382857142857141"/>
    <n v="60736"/>
    <n v="200"/>
    <n v="7"/>
    <n v="1"/>
    <n v="60736"/>
    <s v="Stone Spring Elementary"/>
    <s v="ESL Specialist"/>
    <m/>
    <n v="48500"/>
    <n v="56816"/>
    <n v="65132"/>
  </r>
  <r>
    <s v="King"/>
    <s v="Michael"/>
    <n v="10563"/>
    <d v="1982-08-24T00:00:00"/>
    <n v="39.352777777777774"/>
    <n v="30187"/>
    <n v="39.352777777777774"/>
    <m/>
    <x v="0"/>
    <m/>
    <n v="60.039285714285711"/>
    <n v="84055"/>
    <n v="200"/>
    <n v="7"/>
    <n v="1"/>
    <n v="84055"/>
    <s v="Stone Spring Elementary"/>
    <s v="Health and PE Teacher/Coordinator"/>
    <m/>
    <n v="48500"/>
    <n v="56816"/>
    <n v="65132"/>
  </r>
  <r>
    <s v="Kinkead"/>
    <s v="Whitney"/>
    <n v="13194"/>
    <d v="2015-08-17T00:00:00"/>
    <n v="6.3722222222222218"/>
    <n v="42233"/>
    <n v="6.3722222222222218"/>
    <m/>
    <x v="0"/>
    <m/>
    <n v="36.394285714285715"/>
    <n v="50952"/>
    <n v="200"/>
    <n v="7"/>
    <n v="1"/>
    <n v="50952"/>
    <s v="Bluestone Elementary"/>
    <s v="School Counselor"/>
    <m/>
    <n v="48500"/>
    <n v="56816"/>
    <n v="65132"/>
  </r>
  <r>
    <s v="Kiracofe"/>
    <s v="Debra"/>
    <n v="10677"/>
    <d v="2003-08-18T00:00:00"/>
    <n v="18.369444444444444"/>
    <n v="37851"/>
    <n v="18.369444444444444"/>
    <m/>
    <x v="0"/>
    <m/>
    <n v="38.431428571428569"/>
    <n v="53804"/>
    <n v="200"/>
    <n v="7"/>
    <n v="1"/>
    <n v="53804"/>
    <s v="Thomas Harrison Middle"/>
    <s v="Science Teacher"/>
    <m/>
    <n v="48500"/>
    <n v="56816"/>
    <n v="65132"/>
  </r>
  <r>
    <s v="Kniss"/>
    <s v="Marta"/>
    <n v="12925"/>
    <d v="2014-10-08T00:00:00"/>
    <n v="7.2305555555555552"/>
    <n v="41920"/>
    <n v="7.2305555555555552"/>
    <m/>
    <x v="0"/>
    <m/>
    <n v="36.394285714285715"/>
    <n v="50952"/>
    <n v="200"/>
    <n v="7"/>
    <n v="1"/>
    <n v="50952"/>
    <s v="Spotswood Elementary"/>
    <s v="First Grade Teacher"/>
    <m/>
    <n v="48500"/>
    <n v="56816"/>
    <n v="65132"/>
  </r>
  <r>
    <s v="Koger"/>
    <s v="Jasmine"/>
    <n v="15300"/>
    <d v="2021-08-04T00:00:00"/>
    <n v="0.40833333333333333"/>
    <n v="44412"/>
    <n v="0.40833333333333333"/>
    <m/>
    <x v="0"/>
    <m/>
    <n v="35.007857142857141"/>
    <n v="49011"/>
    <n v="200"/>
    <n v="7"/>
    <n v="1"/>
    <n v="49011"/>
    <s v="Central Office"/>
    <s v="Behavior Specialist"/>
    <m/>
    <n v="48500"/>
    <n v="56816"/>
    <n v="65132"/>
  </r>
  <r>
    <s v="Kramer"/>
    <s v="Candace"/>
    <n v="14092"/>
    <d v="2019-03-19T00:00:00"/>
    <n v="2.7833333333333332"/>
    <n v="43543"/>
    <n v="2.7833333333333332"/>
    <m/>
    <x v="0"/>
    <m/>
    <n v="35.007857142857141"/>
    <n v="49011"/>
    <n v="200"/>
    <n v="7"/>
    <n v="1"/>
    <n v="49011"/>
    <s v="Thomas Harrison Middle"/>
    <s v="Newcomer Teacher"/>
    <m/>
    <n v="48500"/>
    <n v="56816"/>
    <n v="65132"/>
  </r>
  <r>
    <s v="Kruggel"/>
    <s v="Heidi"/>
    <n v="14313"/>
    <d v="2018-08-13T00:00:00"/>
    <n v="3.3833333333333333"/>
    <n v="43325"/>
    <n v="3.3833333333333333"/>
    <m/>
    <x v="0"/>
    <m/>
    <n v="35.25"/>
    <n v="49350"/>
    <n v="200"/>
    <n v="7"/>
    <n v="1"/>
    <n v="49350"/>
    <s v="Bluestone Elementary"/>
    <s v="Second Grade Teacher"/>
    <m/>
    <n v="48500"/>
    <n v="56816"/>
    <n v="65132"/>
  </r>
  <r>
    <s v="Kullander"/>
    <s v="Samantha"/>
    <n v="10741"/>
    <d v="2007-08-16T00:00:00"/>
    <n v="14.375"/>
    <n v="39310"/>
    <n v="14.375"/>
    <m/>
    <x v="0"/>
    <m/>
    <n v="38.431428571428569"/>
    <n v="53804"/>
    <n v="200"/>
    <n v="7"/>
    <n v="1"/>
    <n v="53804"/>
    <s v="Smithland Elementary"/>
    <s v="Health and PE Teacher"/>
    <m/>
    <n v="48500"/>
    <n v="56816"/>
    <n v="65132"/>
  </r>
  <r>
    <s v="Kurtz"/>
    <s v="Benjamin"/>
    <n v="10134"/>
    <d v="2005-08-11T00:00:00"/>
    <n v="16.388888888888889"/>
    <n v="38575"/>
    <n v="16.388888888888889"/>
    <m/>
    <x v="0"/>
    <m/>
    <n v="39.901428571428575"/>
    <n v="55862"/>
    <n v="200"/>
    <n v="7"/>
    <n v="1"/>
    <n v="55862"/>
    <s v="Harrisonburg High"/>
    <s v="ESL Specialist"/>
    <m/>
    <n v="48500"/>
    <n v="56816"/>
    <n v="65132"/>
  </r>
  <r>
    <s v="Kuzma"/>
    <s v="William"/>
    <n v="14868"/>
    <d v="2020-08-12T00:00:00"/>
    <n v="1.3861111111111111"/>
    <n v="44055"/>
    <n v="1.3861111111111111"/>
    <m/>
    <x v="0"/>
    <m/>
    <n v="34.642857142857146"/>
    <n v="48500"/>
    <n v="200"/>
    <n v="7"/>
    <n v="1"/>
    <n v="48500"/>
    <s v="Waterman Elementary"/>
    <s v="Fifth Grade Teacher"/>
    <m/>
    <n v="48500"/>
    <n v="56816"/>
    <n v="65132"/>
  </r>
  <r>
    <s v="Labarge"/>
    <s v="Amy"/>
    <n v="10461"/>
    <d v="2004-08-11T00:00:00"/>
    <n v="17.388888888888889"/>
    <n v="38210"/>
    <n v="17.388888888888889"/>
    <m/>
    <x v="0"/>
    <m/>
    <n v="39.901428571428575"/>
    <n v="55862"/>
    <n v="200"/>
    <n v="7"/>
    <n v="1"/>
    <n v="55862"/>
    <s v="Keister Elementary"/>
    <s v="Special Education Teacher"/>
    <m/>
    <n v="48500"/>
    <n v="56816"/>
    <n v="65132"/>
  </r>
  <r>
    <s v="Lam"/>
    <s v="Emily"/>
    <n v="10455"/>
    <d v="2003-08-13T00:00:00"/>
    <n v="18.383333333333333"/>
    <n v="37846"/>
    <n v="18.383333333333333"/>
    <m/>
    <x v="0"/>
    <m/>
    <n v="39.901428571428575"/>
    <n v="55862"/>
    <n v="200"/>
    <n v="7"/>
    <n v="1"/>
    <n v="55862"/>
    <s v="Keister Elementary"/>
    <s v="Reading Specialist"/>
    <m/>
    <n v="48500"/>
    <n v="56816"/>
    <n v="65132"/>
  </r>
  <r>
    <s v="Lam"/>
    <s v="Jordan"/>
    <n v="12987"/>
    <d v="2014-12-03T00:00:00"/>
    <n v="7.0777777777777775"/>
    <n v="41976"/>
    <n v="7.0777777777777775"/>
    <m/>
    <x v="0"/>
    <m/>
    <n v="36.119999999999997"/>
    <n v="50568"/>
    <n v="200"/>
    <n v="7"/>
    <n v="1"/>
    <n v="50568"/>
    <s v="Stone Spring Elementary"/>
    <s v="Kindergarten Teacher"/>
    <m/>
    <n v="48500"/>
    <n v="56816"/>
    <n v="65132"/>
  </r>
  <r>
    <s v="Lamb"/>
    <s v="Cynthia"/>
    <n v="11108"/>
    <d v="1988-12-10T00:00:00"/>
    <n v="33.05833333333333"/>
    <n v="32487"/>
    <n v="33.05833333333333"/>
    <m/>
    <x v="0"/>
    <m/>
    <n v="52.782857142857146"/>
    <n v="73896"/>
    <n v="200"/>
    <n v="7"/>
    <n v="1"/>
    <n v="73896"/>
    <s v="Waterman Elementary"/>
    <s v="First Grade Teacher"/>
    <m/>
    <n v="48500"/>
    <n v="56816"/>
    <n v="65132"/>
  </r>
  <r>
    <s v="Lamb"/>
    <s v="Korey"/>
    <n v="13165"/>
    <d v="2015-08-17T00:00:00"/>
    <n v="6.3722222222222218"/>
    <n v="42233"/>
    <n v="6.3722222222222218"/>
    <m/>
    <x v="0"/>
    <m/>
    <n v="38.34415584415585"/>
    <n v="59050"/>
    <n v="220"/>
    <n v="7"/>
    <n v="1"/>
    <n v="59050"/>
    <s v="Harrisonburg High"/>
    <s v="School Counselor"/>
    <m/>
    <n v="48500"/>
    <n v="56816"/>
    <n v="65132"/>
  </r>
  <r>
    <s v="Lambert"/>
    <s v="Ashley"/>
    <n v="10462"/>
    <d v="2005-08-11T00:00:00"/>
    <n v="16.388888888888889"/>
    <n v="38575"/>
    <n v="16.388888888888889"/>
    <m/>
    <x v="0"/>
    <m/>
    <n v="42.532142857142858"/>
    <n v="59545"/>
    <n v="200"/>
    <n v="7"/>
    <n v="1"/>
    <n v="59545"/>
    <s v="Skyline Middle"/>
    <s v="Science Teacher"/>
    <m/>
    <n v="48500"/>
    <n v="56816"/>
    <n v="65132"/>
  </r>
  <r>
    <s v="Lanctot"/>
    <s v="Rachel"/>
    <n v="13823"/>
    <d v="2017-08-21T00:00:00"/>
    <n v="4.3611111111111107"/>
    <n v="42968"/>
    <n v="4.3611111111111107"/>
    <m/>
    <x v="0"/>
    <m/>
    <n v="36.119999999999997"/>
    <n v="50568"/>
    <n v="200"/>
    <n v="7"/>
    <n v="1"/>
    <n v="50568"/>
    <s v="Smithland Elementary"/>
    <s v="Fourth Grade Teacher"/>
    <m/>
    <n v="48500"/>
    <n v="56816"/>
    <n v="65132"/>
  </r>
  <r>
    <s v="Lauber"/>
    <s v="Robin"/>
    <n v="13424"/>
    <d v="2017-01-03T00:00:00"/>
    <n v="4.9944444444444445"/>
    <n v="42738"/>
    <n v="4.9944444444444445"/>
    <m/>
    <x v="0"/>
    <m/>
    <n v="34.865000000000002"/>
    <n v="48811"/>
    <n v="200"/>
    <n v="7"/>
    <n v="1"/>
    <n v="48811"/>
    <s v="Bluestone Elementary"/>
    <s v="Kindergarten Teacher"/>
    <m/>
    <n v="48500"/>
    <n v="56816"/>
    <n v="65132"/>
  </r>
  <r>
    <s v="Lawson"/>
    <s v="Whitney"/>
    <n v="13634"/>
    <d v="2016-08-15T00:00:00"/>
    <n v="5.3777777777777782"/>
    <n v="42597"/>
    <n v="5.3777777777777782"/>
    <m/>
    <x v="0"/>
    <m/>
    <n v="35.952857142857141"/>
    <n v="50334"/>
    <n v="200"/>
    <n v="7"/>
    <n v="1"/>
    <n v="50334"/>
    <s v="Keister Elementary"/>
    <s v="First Grade Teacher"/>
    <m/>
    <n v="48500"/>
    <n v="56816"/>
    <n v="65132"/>
  </r>
  <r>
    <s v="Leaman"/>
    <s v="Kayla"/>
    <n v="14862"/>
    <d v="2020-08-12T00:00:00"/>
    <n v="1.3861111111111111"/>
    <n v="44055"/>
    <n v="1.3861111111111111"/>
    <m/>
    <x v="0"/>
    <m/>
    <n v="34.865000000000002"/>
    <n v="48811"/>
    <n v="200"/>
    <n v="7"/>
    <n v="1"/>
    <n v="48811"/>
    <s v="Harrisonburg High"/>
    <s v="Math Teacher"/>
    <m/>
    <n v="48500"/>
    <n v="56816"/>
    <n v="65132"/>
  </r>
  <r>
    <s v="Lechota"/>
    <s v="Anthony"/>
    <n v="11422"/>
    <d v="2008-11-18T00:00:00"/>
    <n v="13.119444444444444"/>
    <n v="39770"/>
    <n v="13.119444444444444"/>
    <m/>
    <x v="0"/>
    <m/>
    <n v="38.344285714285718"/>
    <n v="53682"/>
    <n v="200"/>
    <n v="7"/>
    <n v="1"/>
    <n v="53682"/>
    <s v="Thomas Harrison Middle"/>
    <s v="English Teacher"/>
    <m/>
    <n v="48500"/>
    <n v="56816"/>
    <n v="65132"/>
  </r>
  <r>
    <s v="Leeper"/>
    <s v="Claire"/>
    <n v="12782"/>
    <d v="2014-07-28T00:00:00"/>
    <n v="7.4249999999999998"/>
    <n v="41848"/>
    <n v="7.4249999999999998"/>
    <m/>
    <x v="0"/>
    <m/>
    <n v="38.431292517006803"/>
    <n v="56494"/>
    <n v="210"/>
    <n v="7"/>
    <n v="1"/>
    <n v="56494"/>
    <s v="Harrisonburg High"/>
    <s v="Band Teacher"/>
    <m/>
    <n v="48500"/>
    <n v="56816"/>
    <n v="65132"/>
  </r>
  <r>
    <s v="Leonard"/>
    <s v="Glenda"/>
    <n v="14582"/>
    <d v="2019-08-12T00:00:00"/>
    <n v="2.3861111111111111"/>
    <n v="43689"/>
    <n v="2.3861111111111111"/>
    <m/>
    <x v="0"/>
    <m/>
    <n v="43.382857142857141"/>
    <n v="60736"/>
    <n v="200"/>
    <n v="7"/>
    <n v="1"/>
    <n v="60736"/>
    <s v="Waterman Elementary"/>
    <s v="Third Grade Teacher"/>
    <m/>
    <n v="48500"/>
    <n v="56816"/>
    <n v="65132"/>
  </r>
  <r>
    <s v="Lester"/>
    <s v="Savanna"/>
    <n v="15033"/>
    <d v="2021-08-04T00:00:00"/>
    <n v="0.40833333333333333"/>
    <n v="44412"/>
    <n v="0.40833333333333333"/>
    <m/>
    <x v="0"/>
    <m/>
    <n v="35.598051948051946"/>
    <n v="54821"/>
    <n v="220"/>
    <n v="7"/>
    <n v="1"/>
    <n v="54821"/>
    <s v="Harrisonburg High"/>
    <s v="School Counselor"/>
    <m/>
    <n v="48500"/>
    <n v="56816"/>
    <n v="65132"/>
  </r>
  <r>
    <s v="Lichti"/>
    <s v="Lorita"/>
    <n v="12084"/>
    <d v="2011-08-15T00:00:00"/>
    <n v="10.377777777777778"/>
    <n v="40770"/>
    <n v="10.377777777777778"/>
    <m/>
    <x v="0"/>
    <m/>
    <n v="37.951428571428572"/>
    <n v="53132"/>
    <n v="200"/>
    <n v="7"/>
    <n v="1"/>
    <n v="53132"/>
    <s v="Smithland Elementary"/>
    <s v="Developmental Reading Teacher"/>
    <m/>
    <n v="48500"/>
    <n v="56816"/>
    <n v="65132"/>
  </r>
  <r>
    <s v="Life"/>
    <s v="Jessica"/>
    <n v="12055"/>
    <d v="2011-08-15T00:00:00"/>
    <n v="10.377777777777778"/>
    <n v="40770"/>
    <n v="10.377777777777778"/>
    <m/>
    <x v="0"/>
    <m/>
    <n v="38.344285714285718"/>
    <n v="53682"/>
    <n v="200"/>
    <n v="7"/>
    <n v="1"/>
    <n v="53682"/>
    <s v="Bluestone Elementary"/>
    <s v="Health and PE Teacher"/>
    <m/>
    <n v="48500"/>
    <n v="56816"/>
    <n v="65132"/>
  </r>
  <r>
    <s v="Lindberg"/>
    <s v="Karen"/>
    <n v="10569"/>
    <d v="1993-08-23T00:00:00"/>
    <n v="28.355555555555554"/>
    <n v="34204"/>
    <n v="28.355555555555554"/>
    <m/>
    <x v="0"/>
    <m/>
    <n v="56.561688311688314"/>
    <n v="87105"/>
    <n v="220"/>
    <n v="7"/>
    <n v="1"/>
    <n v="87105"/>
    <s v="Central Office"/>
    <s v="Supervisor of Early Intervention and Related Services"/>
    <m/>
    <n v="48500"/>
    <n v="56816"/>
    <n v="65132"/>
  </r>
  <r>
    <s v="Lineweaver"/>
    <s v="Kelly"/>
    <n v="10236"/>
    <d v="2003-08-01T00:00:00"/>
    <n v="18.416666666666668"/>
    <n v="37834"/>
    <n v="18.416666666666668"/>
    <m/>
    <x v="1"/>
    <m/>
    <n v="40.016447368421055"/>
    <n v="48660"/>
    <n v="200"/>
    <n v="6.08"/>
    <n v="0.81"/>
    <n v="60074.074074074073"/>
    <s v="Central Office"/>
    <s v="Coordinator - Policies/Div Comm"/>
    <m/>
    <n v="72151"/>
    <n v="85836"/>
    <n v="99521"/>
  </r>
  <r>
    <s v="Livick"/>
    <s v="Wesley"/>
    <n v="12828"/>
    <d v="2014-08-11T00:00:00"/>
    <n v="7.3888888888888893"/>
    <n v="41862"/>
    <n v="7.3888888888888893"/>
    <m/>
    <x v="0"/>
    <m/>
    <n v="36.780714285714282"/>
    <n v="51493"/>
    <n v="200"/>
    <n v="7"/>
    <n v="1"/>
    <n v="51493"/>
    <s v="Harrisonburg High"/>
    <s v="Social Studies Teacher"/>
    <m/>
    <n v="48500"/>
    <n v="56816"/>
    <n v="65132"/>
  </r>
  <r>
    <s v="Lloyd"/>
    <s v="Teal"/>
    <n v="12306"/>
    <d v="2012-08-14T00:00:00"/>
    <n v="9.3805555555555564"/>
    <n v="41135"/>
    <n v="9.3805555555555564"/>
    <m/>
    <x v="0"/>
    <m/>
    <n v="50.485034013605443"/>
    <n v="74213"/>
    <n v="210"/>
    <n v="7"/>
    <n v="1"/>
    <n v="74213"/>
    <s v="Stone Spring Elementary"/>
    <s v="Media Specialist (Librarian)"/>
    <m/>
    <n v="48500"/>
    <n v="56816"/>
    <n v="65132"/>
  </r>
  <r>
    <s v="Loker"/>
    <s v="Annette"/>
    <n v="13176"/>
    <d v="2015-08-17T00:00:00"/>
    <n v="6.3722222222222218"/>
    <n v="42233"/>
    <n v="6.3722222222222218"/>
    <m/>
    <x v="0"/>
    <m/>
    <n v="39.901428571428575"/>
    <n v="55862"/>
    <n v="200"/>
    <n v="7"/>
    <n v="1"/>
    <n v="55862"/>
    <s v="Waterman Elementary"/>
    <s v="Reading Specialist"/>
    <m/>
    <n v="48500"/>
    <n v="56816"/>
    <n v="65132"/>
  </r>
  <r>
    <s v="Long"/>
    <s v="Daniel"/>
    <n v="10570"/>
    <d v="2006-08-09T00:00:00"/>
    <n v="15.394444444444444"/>
    <n v="38938"/>
    <n v="15.394444444444444"/>
    <m/>
    <x v="0"/>
    <m/>
    <n v="39.901428571428575"/>
    <n v="55862"/>
    <n v="200"/>
    <n v="7"/>
    <n v="1"/>
    <n v="55862"/>
    <s v="Stone Spring Elementary"/>
    <s v="School Counselor"/>
    <m/>
    <n v="48500"/>
    <n v="56816"/>
    <n v="65132"/>
  </r>
  <r>
    <s v="Long"/>
    <s v="Katie"/>
    <n v="12443"/>
    <d v="2012-11-06T00:00:00"/>
    <n v="9.1527777777777786"/>
    <n v="41219"/>
    <n v="9.1527777777777786"/>
    <m/>
    <x v="0"/>
    <m/>
    <n v="36.780714285714282"/>
    <n v="51493"/>
    <n v="200"/>
    <n v="7"/>
    <n v="1"/>
    <n v="51493"/>
    <s v="Elon Rhodes"/>
    <s v="VPI Teacher"/>
    <m/>
    <n v="48500"/>
    <n v="56816"/>
    <n v="65132"/>
  </r>
  <r>
    <s v="Long"/>
    <s v="Lisa"/>
    <n v="12079"/>
    <d v="2011-08-15T00:00:00"/>
    <n v="10.377777777777778"/>
    <n v="40770"/>
    <n v="10.377777777777778"/>
    <m/>
    <x v="0"/>
    <m/>
    <n v="41.879285714285707"/>
    <n v="58631"/>
    <n v="200"/>
    <n v="7"/>
    <n v="1"/>
    <n v="58631"/>
    <s v="Harrisonburg High"/>
    <s v="Special Education Teacher"/>
    <m/>
    <n v="48500"/>
    <n v="56816"/>
    <n v="65132"/>
  </r>
  <r>
    <s v="Longacre"/>
    <s v="Kimberly"/>
    <n v="12568"/>
    <d v="2013-08-13T00:00:00"/>
    <n v="8.3833333333333329"/>
    <n v="41499"/>
    <n v="8.3833333333333329"/>
    <m/>
    <x v="0"/>
    <m/>
    <n v="37.172142857142852"/>
    <n v="52041"/>
    <n v="200"/>
    <n v="7"/>
    <n v="1"/>
    <n v="52041"/>
    <s v="Waterman Elementary"/>
    <s v="Second Grade Teacher"/>
    <m/>
    <n v="48500"/>
    <n v="56816"/>
    <n v="65132"/>
  </r>
  <r>
    <s v="Lopacinski"/>
    <s v="Sarah"/>
    <n v="13217"/>
    <d v="2015-08-17T00:00:00"/>
    <n v="6.3722222222222218"/>
    <n v="42233"/>
    <n v="6.3722222222222218"/>
    <m/>
    <x v="0"/>
    <m/>
    <n v="50.48571428571428"/>
    <n v="70680"/>
    <n v="200"/>
    <n v="7"/>
    <n v="1"/>
    <n v="70680"/>
    <s v="Smithland Elementary"/>
    <s v="Advanced Learning/STEM Specialist"/>
    <m/>
    <n v="48500"/>
    <n v="56816"/>
    <n v="65132"/>
  </r>
  <r>
    <s v="Lorenzo"/>
    <s v="Janine"/>
    <n v="15041"/>
    <d v="2021-08-04T00:00:00"/>
    <n v="0.40833333333333333"/>
    <n v="44412"/>
    <n v="0.40833333333333333"/>
    <m/>
    <x v="0"/>
    <m/>
    <n v="34.642857142857146"/>
    <n v="48500"/>
    <n v="200"/>
    <n v="7"/>
    <n v="1"/>
    <n v="48500"/>
    <s v="Keister Elementary"/>
    <s v="Second Grade Teacher"/>
    <m/>
    <n v="48500"/>
    <n v="56816"/>
    <n v="65132"/>
  </r>
  <r>
    <s v="Luecke-Fritts"/>
    <s v="Amanda"/>
    <n v="13226"/>
    <d v="2015-08-17T00:00:00"/>
    <n v="6.3722222222222218"/>
    <n v="42233"/>
    <n v="6.3722222222222218"/>
    <m/>
    <x v="0"/>
    <m/>
    <n v="36.394285714285715"/>
    <n v="50952"/>
    <n v="200"/>
    <n v="7"/>
    <n v="1"/>
    <n v="50952"/>
    <s v="Thomas Harrison Middle"/>
    <s v="English Teacher"/>
    <m/>
    <n v="48500"/>
    <n v="56816"/>
    <n v="65132"/>
  </r>
  <r>
    <s v="Luna"/>
    <s v="Ramona"/>
    <n v="13658"/>
    <d v="2016-08-15T00:00:00"/>
    <n v="5.3777777777777782"/>
    <n v="42597"/>
    <n v="5.3777777777777782"/>
    <m/>
    <x v="0"/>
    <m/>
    <n v="46.522857142857148"/>
    <n v="65132"/>
    <n v="200"/>
    <n v="7"/>
    <n v="1"/>
    <n v="65132"/>
    <s v="Skyline Middle"/>
    <s v="English Teacher"/>
    <m/>
    <n v="48500"/>
    <n v="56816"/>
    <n v="65132"/>
  </r>
  <r>
    <s v="Luna"/>
    <s v="Rose"/>
    <n v="12753"/>
    <d v="2014-08-11T00:00:00"/>
    <n v="7.3888888888888893"/>
    <n v="41862"/>
    <n v="7.3888888888888893"/>
    <m/>
    <x v="0"/>
    <m/>
    <n v="36.780714285714282"/>
    <n v="51493"/>
    <n v="200"/>
    <n v="7"/>
    <n v="1"/>
    <n v="51493"/>
    <s v="Bluestone Elementary"/>
    <s v="Second Grade Teacher"/>
    <m/>
    <n v="48500"/>
    <n v="56816"/>
    <n v="65132"/>
  </r>
  <r>
    <s v="Maclennan"/>
    <s v="Joanna"/>
    <n v="13518"/>
    <d v="2016-04-06T00:00:00"/>
    <n v="5.7361111111111107"/>
    <n v="42466"/>
    <n v="5.7361111111111107"/>
    <m/>
    <x v="0"/>
    <m/>
    <n v="35.952857142857141"/>
    <n v="50334"/>
    <n v="200"/>
    <n v="7"/>
    <n v="1"/>
    <n v="50334"/>
    <s v="Harrisonburg High"/>
    <s v="Social Studies Teacher"/>
    <m/>
    <n v="48500"/>
    <n v="56816"/>
    <n v="65132"/>
  </r>
  <r>
    <s v="Maddox"/>
    <s v="Jeanine"/>
    <n v="13633"/>
    <d v="2016-08-15T00:00:00"/>
    <n v="5.3777777777777782"/>
    <n v="42597"/>
    <n v="5.3777777777777782"/>
    <m/>
    <x v="0"/>
    <m/>
    <n v="37.951428571428572"/>
    <n v="53132"/>
    <n v="200"/>
    <n v="7"/>
    <n v="1"/>
    <n v="53132"/>
    <s v="Skyline Middle"/>
    <s v="English Teacher"/>
    <m/>
    <n v="48500"/>
    <n v="56816"/>
    <n v="65132"/>
  </r>
  <r>
    <s v="Madison"/>
    <s v="Jennifer"/>
    <n v="15063"/>
    <d v="2021-08-04T00:00:00"/>
    <n v="0.40833333333333333"/>
    <n v="44412"/>
    <n v="0.40833333333333333"/>
    <m/>
    <x v="0"/>
    <m/>
    <n v="39.380000000000003"/>
    <n v="55132"/>
    <n v="200"/>
    <n v="7"/>
    <n v="1"/>
    <n v="55132"/>
    <s v="Central Office"/>
    <s v="Instructional Coach - SPED"/>
    <m/>
    <n v="48500"/>
    <n v="56816"/>
    <n v="65132"/>
  </r>
  <r>
    <s v="Makarewich"/>
    <s v="Corinne"/>
    <n v="11236"/>
    <d v="2008-08-13T00:00:00"/>
    <n v="13.383333333333333"/>
    <n v="39673"/>
    <n v="13.383333333333333"/>
    <m/>
    <x v="0"/>
    <m/>
    <n v="38.34415584415585"/>
    <n v="59050"/>
    <n v="220"/>
    <n v="7"/>
    <n v="1"/>
    <n v="59050"/>
    <s v="Thomas Harrison Middle"/>
    <s v="School Counselor"/>
    <m/>
    <n v="48500"/>
    <n v="56816"/>
    <n v="65132"/>
  </r>
  <r>
    <s v="Malin"/>
    <s v="Crissy"/>
    <n v="13266"/>
    <d v="2015-08-21T00:00:00"/>
    <n v="6.3611111111111107"/>
    <n v="42237"/>
    <n v="6.3611111111111107"/>
    <m/>
    <x v="0"/>
    <m/>
    <n v="36.780714285714282"/>
    <n v="51493"/>
    <n v="200"/>
    <n v="7"/>
    <n v="1"/>
    <n v="51493"/>
    <s v="Stone Spring Elementary"/>
    <s v="First Grade Teacher"/>
    <m/>
    <n v="48500"/>
    <n v="56816"/>
    <n v="65132"/>
  </r>
  <r>
    <s v="Mansour"/>
    <s v="Rehab"/>
    <n v="13561"/>
    <d v="2016-05-18T00:00:00"/>
    <n v="5.6194444444444445"/>
    <n v="42508"/>
    <n v="5.6194444444444445"/>
    <m/>
    <x v="0"/>
    <m/>
    <n v="39.035000000000004"/>
    <n v="54649"/>
    <n v="200"/>
    <n v="7"/>
    <n v="1"/>
    <n v="54649"/>
    <s v="Keister Elementary"/>
    <s v="ELL Teacher"/>
    <m/>
    <n v="48500"/>
    <n v="56816"/>
    <n v="65132"/>
  </r>
  <r>
    <s v="Marker"/>
    <s v="Megan"/>
    <n v="14310"/>
    <d v="2018-08-14T00:00:00"/>
    <n v="3.3805555555555555"/>
    <n v="43326"/>
    <n v="3.3805555555555555"/>
    <m/>
    <x v="0"/>
    <m/>
    <n v="37.951428571428572"/>
    <n v="53132"/>
    <n v="200"/>
    <n v="7"/>
    <n v="1"/>
    <n v="53132"/>
    <s v="Central Office"/>
    <s v="Behavior Specialist"/>
    <m/>
    <n v="48500"/>
    <n v="56816"/>
    <n v="65132"/>
  </r>
  <r>
    <s v="Marsh"/>
    <s v="Kristine"/>
    <n v="10300"/>
    <d v="2002-08-16T00:00:00"/>
    <n v="19.375"/>
    <n v="37484"/>
    <n v="19.375"/>
    <m/>
    <x v="0"/>
    <m/>
    <n v="51.747857142857143"/>
    <n v="72447"/>
    <n v="200"/>
    <n v="7"/>
    <n v="1"/>
    <n v="72447"/>
    <s v="Spotswood Elementary"/>
    <s v="Reading Specialist"/>
    <m/>
    <n v="48500"/>
    <n v="56816"/>
    <n v="65132"/>
  </r>
  <r>
    <s v="Marshburn"/>
    <s v="Mary"/>
    <n v="12336"/>
    <d v="2012-08-14T00:00:00"/>
    <n v="9.3805555555555564"/>
    <n v="41135"/>
    <n v="9.3805555555555564"/>
    <m/>
    <x v="0"/>
    <m/>
    <n v="37.562142857142859"/>
    <n v="52587"/>
    <n v="200"/>
    <n v="7"/>
    <n v="1"/>
    <n v="52587"/>
    <s v="Stone Spring Elementary"/>
    <s v="Special Education Teacher"/>
    <m/>
    <n v="48500"/>
    <n v="56816"/>
    <n v="65132"/>
  </r>
  <r>
    <s v="Martell"/>
    <s v="Carrie"/>
    <n v="11112"/>
    <d v="2005-05-12T00:00:00"/>
    <n v="16.636111111111113"/>
    <n v="38484"/>
    <n v="16.636111111111113"/>
    <m/>
    <x v="1"/>
    <m/>
    <n v="46.157792207792212"/>
    <n v="71083"/>
    <n v="220"/>
    <n v="7"/>
    <n v="1"/>
    <n v="71083"/>
    <s v="Central Office"/>
    <s v="SPED Coordinator"/>
    <m/>
    <n v="72151"/>
    <n v="85836"/>
    <n v="99521"/>
  </r>
  <r>
    <s v="Martin"/>
    <s v="Claire"/>
    <n v="14154"/>
    <d v="2019-08-12T00:00:00"/>
    <n v="2.3861111111111111"/>
    <n v="43689"/>
    <n v="2.3861111111111111"/>
    <m/>
    <x v="0"/>
    <m/>
    <n v="35.597857142857144"/>
    <n v="49837"/>
    <n v="200"/>
    <n v="7"/>
    <n v="1"/>
    <n v="49837"/>
    <s v="Bluestone Elementary"/>
    <s v="Speech Pathologist"/>
    <m/>
    <n v="48500"/>
    <n v="56816"/>
    <n v="65132"/>
  </r>
  <r>
    <s v="Martin"/>
    <s v="Eryn"/>
    <n v="14565"/>
    <d v="2019-08-12T00:00:00"/>
    <n v="2.3861111111111111"/>
    <n v="43689"/>
    <n v="2.3861111111111111"/>
    <m/>
    <x v="0"/>
    <m/>
    <n v="35.25"/>
    <n v="49350"/>
    <n v="200"/>
    <n v="7"/>
    <n v="1"/>
    <n v="49350"/>
    <s v="Keister Elementary"/>
    <s v="Fifth Grade Teacher"/>
    <m/>
    <n v="48500"/>
    <n v="56816"/>
    <n v="65132"/>
  </r>
  <r>
    <s v="Martin"/>
    <s v="Teresa"/>
    <n v="10466"/>
    <d v="2004-08-11T00:00:00"/>
    <n v="17.388888888888889"/>
    <n v="38210"/>
    <n v="17.388888888888889"/>
    <m/>
    <x v="0"/>
    <m/>
    <n v="54.365714285714283"/>
    <n v="76112"/>
    <n v="200"/>
    <n v="7"/>
    <n v="1"/>
    <n v="76112"/>
    <s v="Skyline Middle"/>
    <s v="ESL Specialist"/>
    <m/>
    <n v="48500"/>
    <n v="56816"/>
    <n v="65132"/>
  </r>
  <r>
    <s v="Martin"/>
    <s v="William"/>
    <n v="14508"/>
    <d v="2019-08-12T00:00:00"/>
    <n v="2.3861111111111111"/>
    <n v="43689"/>
    <n v="2.3861111111111111"/>
    <m/>
    <x v="0"/>
    <m/>
    <n v="36.119999999999997"/>
    <n v="50568"/>
    <n v="200"/>
    <n v="7"/>
    <n v="1"/>
    <n v="50568"/>
    <s v="Thomas Harrison Middle"/>
    <s v="Choral Teacher"/>
    <m/>
    <n v="48500"/>
    <n v="56816"/>
    <n v="65132"/>
  </r>
  <r>
    <s v="Martin Jr"/>
    <s v="Billy"/>
    <n v="11796"/>
    <d v="2010-08-06T00:00:00"/>
    <n v="11.402777777777779"/>
    <n v="40396"/>
    <n v="11.402777777777779"/>
    <m/>
    <x v="0"/>
    <m/>
    <n v="41.482467532467531"/>
    <n v="63883"/>
    <n v="220"/>
    <n v="7"/>
    <n v="1"/>
    <n v="63883"/>
    <s v="Harrisonburg High"/>
    <s v="Media Specialist (Librarian)"/>
    <m/>
    <n v="48500"/>
    <n v="56816"/>
    <n v="65132"/>
  </r>
  <r>
    <s v="Martinez-Bergey"/>
    <s v="Crystal"/>
    <n v="10089"/>
    <d v="2007-08-06T00:00:00"/>
    <n v="14.402777777777779"/>
    <n v="39300"/>
    <n v="14.402777777777779"/>
    <m/>
    <x v="0"/>
    <m/>
    <n v="38.431428571428569"/>
    <n v="53804"/>
    <n v="200"/>
    <n v="7"/>
    <n v="1"/>
    <n v="53804"/>
    <s v="Harrisonburg High"/>
    <s v="ESL Specialist"/>
    <m/>
    <n v="48500"/>
    <n v="56816"/>
    <n v="65132"/>
  </r>
  <r>
    <s v="Martin-Trinka"/>
    <s v="Jenna"/>
    <n v="10301"/>
    <d v="2007-08-16T00:00:00"/>
    <n v="14.375"/>
    <n v="39310"/>
    <n v="14.375"/>
    <m/>
    <x v="0"/>
    <m/>
    <n v="38.431428571428569"/>
    <n v="53804"/>
    <n v="200"/>
    <n v="7"/>
    <n v="1"/>
    <n v="53804"/>
    <s v="Bluestone Elementary"/>
    <s v="Developmental Reading Teacher"/>
    <m/>
    <n v="48500"/>
    <n v="56816"/>
    <n v="65132"/>
  </r>
  <r>
    <s v="Mast"/>
    <s v="Margie"/>
    <n v="14906"/>
    <d v="2020-08-12T00:00:00"/>
    <n v="1.3861111111111111"/>
    <n v="44055"/>
    <n v="1.3861111111111111"/>
    <m/>
    <x v="0"/>
    <m/>
    <n v="48.181428571428569"/>
    <n v="67454"/>
    <n v="200"/>
    <n v="7"/>
    <n v="1"/>
    <n v="67454"/>
    <s v="Waterman Elementary"/>
    <s v="Reading Specialist"/>
    <m/>
    <n v="48500"/>
    <n v="56816"/>
    <n v="65132"/>
  </r>
  <r>
    <s v="May"/>
    <s v="Kayla"/>
    <n v="14340"/>
    <d v="2018-08-13T00:00:00"/>
    <n v="3.3833333333333333"/>
    <n v="43325"/>
    <n v="3.3833333333333333"/>
    <m/>
    <x v="0"/>
    <m/>
    <n v="36.780714285714282"/>
    <n v="51493"/>
    <n v="200"/>
    <n v="7"/>
    <n v="1"/>
    <n v="51493"/>
    <s v="Central Office"/>
    <s v="Hearing Impaired Teacher"/>
    <m/>
    <n v="48500"/>
    <n v="56816"/>
    <n v="65132"/>
  </r>
  <r>
    <s v="Mcclure"/>
    <s v="Angela"/>
    <n v="13586"/>
    <d v="2016-08-15T00:00:00"/>
    <n v="5.3777777777777782"/>
    <n v="42597"/>
    <n v="5.3777777777777782"/>
    <m/>
    <x v="0"/>
    <m/>
    <n v="37.951428571428572"/>
    <n v="53132"/>
    <n v="200"/>
    <n v="7"/>
    <n v="1"/>
    <n v="53132"/>
    <s v="Skyline Middle"/>
    <s v="English Teacher"/>
    <m/>
    <n v="48500"/>
    <n v="56816"/>
    <n v="65132"/>
  </r>
  <r>
    <s v="Mcgrady"/>
    <s v="Dina"/>
    <n v="10143"/>
    <d v="2005-08-11T00:00:00"/>
    <n v="16.388888888888889"/>
    <n v="38575"/>
    <n v="16.388888888888889"/>
    <m/>
    <x v="0"/>
    <m/>
    <n v="43.382857142857141"/>
    <n v="60736"/>
    <n v="200"/>
    <n v="7"/>
    <n v="1"/>
    <n v="60736"/>
    <s v="Harrisonburg High"/>
    <s v="Math Teacher"/>
    <m/>
    <n v="48500"/>
    <n v="56816"/>
    <n v="65132"/>
  </r>
  <r>
    <s v="Mcintyre"/>
    <s v="Jennifer"/>
    <n v="10718"/>
    <d v="1999-08-19T00:00:00"/>
    <n v="22.366666666666667"/>
    <n v="36391"/>
    <n v="22.366666666666667"/>
    <m/>
    <x v="0"/>
    <m/>
    <n v="42.532142857142858"/>
    <n v="59545"/>
    <n v="200"/>
    <n v="7"/>
    <n v="1"/>
    <n v="59545"/>
    <s v="Thomas Harrison Middle"/>
    <s v="Math Teacher"/>
    <m/>
    <n v="48500"/>
    <n v="56816"/>
    <n v="65132"/>
  </r>
  <r>
    <s v="Mcnair"/>
    <s v="Deborah"/>
    <n v="11254"/>
    <d v="2008-08-13T00:00:00"/>
    <n v="13.383333333333333"/>
    <n v="39673"/>
    <n v="13.383333333333333"/>
    <m/>
    <x v="0"/>
    <m/>
    <n v="38.344285714285718"/>
    <n v="53682"/>
    <n v="200"/>
    <n v="7"/>
    <n v="1"/>
    <n v="53682"/>
    <s v="Thomas Harrison Middle"/>
    <s v="Reading Teacher"/>
    <m/>
    <n v="48500"/>
    <n v="56816"/>
    <n v="65132"/>
  </r>
  <r>
    <s v="Mcnett"/>
    <s v="Judith"/>
    <n v="10701"/>
    <d v="1990-08-22T00:00:00"/>
    <n v="31.358333333333334"/>
    <n v="33107"/>
    <n v="31.358333333333334"/>
    <m/>
    <x v="0"/>
    <m/>
    <n v="52.782857142857146"/>
    <n v="73896"/>
    <n v="200"/>
    <n v="7"/>
    <n v="1"/>
    <n v="73896"/>
    <s v="Skyline Middle"/>
    <s v="Advanced Learning/STEM Specialist"/>
    <m/>
    <n v="48500"/>
    <n v="56816"/>
    <n v="65132"/>
  </r>
  <r>
    <s v="Mcqueen"/>
    <s v="Lisa"/>
    <n v="13274"/>
    <d v="2016-12-12T00:00:00"/>
    <n v="5.052777777777778"/>
    <n v="42716"/>
    <n v="5.052777777777778"/>
    <m/>
    <x v="0"/>
    <m/>
    <n v="38.890714285714289"/>
    <n v="54447"/>
    <n v="200"/>
    <n v="7"/>
    <n v="1"/>
    <n v="54447"/>
    <s v="Harrisonburg High"/>
    <s v="Special Education Teacher"/>
    <m/>
    <n v="48500"/>
    <n v="56816"/>
    <n v="65132"/>
  </r>
  <r>
    <s v="Medley"/>
    <s v="Debra"/>
    <n v="10468"/>
    <d v="2003-09-15T00:00:00"/>
    <n v="18.294444444444444"/>
    <n v="37879"/>
    <n v="18.294444444444444"/>
    <m/>
    <x v="0"/>
    <m/>
    <n v="40.692857142857143"/>
    <n v="56970"/>
    <n v="200"/>
    <n v="7"/>
    <n v="1"/>
    <n v="56970"/>
    <s v="Keister Elementary"/>
    <s v="Reading Specialist"/>
    <m/>
    <n v="48500"/>
    <n v="56816"/>
    <n v="65132"/>
  </r>
  <r>
    <s v="Mejia-Ramirez"/>
    <s v="Monica"/>
    <n v="13121"/>
    <d v="2016-10-18T00:00:00"/>
    <n v="5.2027777777777775"/>
    <n v="42661"/>
    <n v="5.2027777777777775"/>
    <m/>
    <x v="0"/>
    <m/>
    <n v="35.007857142857141"/>
    <n v="49011"/>
    <n v="200"/>
    <n v="7"/>
    <n v="1"/>
    <n v="49011"/>
    <s v="Spotswood Elementary"/>
    <s v="Third Grade DL Teacher"/>
    <m/>
    <n v="48500"/>
    <n v="56816"/>
    <n v="65132"/>
  </r>
  <r>
    <s v="Mendez"/>
    <s v="Daisy"/>
    <n v="14905"/>
    <d v="2020-08-12T00:00:00"/>
    <n v="1.3861111111111111"/>
    <n v="44055"/>
    <n v="1.3861111111111111"/>
    <m/>
    <x v="0"/>
    <m/>
    <n v="35.597857142857144"/>
    <n v="49837"/>
    <n v="200"/>
    <n v="7"/>
    <n v="1"/>
    <n v="49837"/>
    <s v="Smithland Elementary"/>
    <s v="SPED Teacher"/>
    <m/>
    <n v="48500"/>
    <n v="56816"/>
    <n v="65132"/>
  </r>
  <r>
    <s v="Mendez"/>
    <s v="Kristen"/>
    <n v="12804"/>
    <d v="2014-08-11T00:00:00"/>
    <n v="7.3888888888888893"/>
    <n v="41862"/>
    <n v="7.3888888888888893"/>
    <m/>
    <x v="0"/>
    <m/>
    <n v="37.951428571428572"/>
    <n v="53132"/>
    <n v="200"/>
    <n v="7"/>
    <n v="1"/>
    <n v="53132"/>
    <s v="Thomas Harrison Middle"/>
    <s v="Math Teacher"/>
    <m/>
    <n v="48500"/>
    <n v="56816"/>
    <n v="65132"/>
  </r>
  <r>
    <s v="Mendez Thompson"/>
    <s v="Jessica"/>
    <n v="10702"/>
    <d v="2004-10-15T00:00:00"/>
    <n v="17.211111111111112"/>
    <n v="38275"/>
    <n v="17.211111111111112"/>
    <m/>
    <x v="0"/>
    <m/>
    <n v="38.890714285714289"/>
    <n v="54447"/>
    <n v="200"/>
    <n v="7"/>
    <n v="1"/>
    <n v="54447"/>
    <s v="Thomas Harrison Middle"/>
    <s v="Global/Spanish Teacher"/>
    <m/>
    <n v="48500"/>
    <n v="56816"/>
    <n v="65132"/>
  </r>
  <r>
    <s v="Meredith"/>
    <s v="Andrea"/>
    <n v="10225"/>
    <d v="2004-08-11T00:00:00"/>
    <n v="17.388888888888889"/>
    <n v="38210"/>
    <n v="17.388888888888889"/>
    <m/>
    <x v="3"/>
    <m/>
    <n v="51.144285714285715"/>
    <n v="71602"/>
    <n v="200"/>
    <n v="7"/>
    <n v="1"/>
    <n v="71602"/>
    <s v="Central Office"/>
    <s v="School Social Worker"/>
    <m/>
    <n v="68122"/>
    <n v="79259"/>
    <n v="90396"/>
  </r>
  <r>
    <s v="Merkord-Reed"/>
    <s v="Sarah"/>
    <n v="14885"/>
    <d v="2020-08-12T00:00:00"/>
    <n v="1.3861111111111111"/>
    <n v="44055"/>
    <n v="1.3861111111111111"/>
    <m/>
    <x v="0"/>
    <m/>
    <n v="35.952857142857141"/>
    <n v="50334"/>
    <n v="200"/>
    <n v="7"/>
    <n v="1"/>
    <n v="50334"/>
    <s v="Stone Spring Elementary"/>
    <s v="Kindergarten Teacher"/>
    <m/>
    <n v="48500"/>
    <n v="56816"/>
    <n v="65132"/>
  </r>
  <r>
    <s v="Meyer"/>
    <s v="Sylvia"/>
    <n v="12438"/>
    <d v="2012-11-06T00:00:00"/>
    <n v="9.1527777777777786"/>
    <n v="41219"/>
    <n v="9.1527777777777786"/>
    <m/>
    <x v="0"/>
    <m/>
    <n v="37.172142857142852"/>
    <n v="52041"/>
    <n v="200"/>
    <n v="7"/>
    <n v="1"/>
    <n v="52041"/>
    <s v="Thomas Harrison Middle"/>
    <s v="ESL Specialist"/>
    <m/>
    <n v="48500"/>
    <n v="56816"/>
    <n v="65132"/>
  </r>
  <r>
    <s v="Middleton"/>
    <s v="Jennie"/>
    <n v="14560"/>
    <d v="2019-08-12T00:00:00"/>
    <n v="2.3861111111111111"/>
    <n v="43689"/>
    <n v="2.3861111111111111"/>
    <m/>
    <x v="0"/>
    <m/>
    <n v="35.007857142857141"/>
    <n v="49011"/>
    <n v="200"/>
    <n v="7"/>
    <n v="1"/>
    <n v="49011"/>
    <s v="Skyline Middle School"/>
    <s v="Drama Teacher"/>
    <m/>
    <n v="48500"/>
    <n v="56816"/>
    <n v="65132"/>
  </r>
  <r>
    <s v="Miller"/>
    <s v="Blaire"/>
    <n v="15078"/>
    <d v="2021-08-04T00:00:00"/>
    <n v="0.40833333333333333"/>
    <n v="44412"/>
    <n v="0.40833333333333333"/>
    <m/>
    <x v="0"/>
    <m/>
    <n v="35.25"/>
    <n v="49350"/>
    <n v="200"/>
    <n v="7"/>
    <n v="1"/>
    <n v="49350"/>
    <s v="Harrisonburg High"/>
    <s v="SPED Teacher"/>
    <m/>
    <n v="48500"/>
    <n v="56816"/>
    <n v="65132"/>
  </r>
  <r>
    <s v="Miller"/>
    <s v="Caitlyn"/>
    <n v="14871"/>
    <d v="2020-08-12T00:00:00"/>
    <n v="1.3861111111111111"/>
    <n v="44055"/>
    <n v="1.3861111111111111"/>
    <m/>
    <x v="0"/>
    <m/>
    <n v="34.865000000000002"/>
    <n v="48811"/>
    <n v="200"/>
    <n v="7"/>
    <n v="1"/>
    <n v="48811"/>
    <s v="Spotswood Elementary"/>
    <s v="Kindergarten Teacher"/>
    <m/>
    <n v="48500"/>
    <n v="56816"/>
    <n v="65132"/>
  </r>
  <r>
    <s v="Miller"/>
    <s v="Heather"/>
    <n v="13627"/>
    <d v="2016-08-15T00:00:00"/>
    <n v="5.3777777777777782"/>
    <n v="42597"/>
    <n v="5.3777777777777782"/>
    <m/>
    <x v="0"/>
    <m/>
    <n v="35.952857142857141"/>
    <n v="50334"/>
    <n v="200"/>
    <n v="7"/>
    <n v="1"/>
    <n v="50334"/>
    <s v="Keister Elementary"/>
    <s v="Second Grade Teacher"/>
    <m/>
    <n v="48500"/>
    <n v="56816"/>
    <n v="65132"/>
  </r>
  <r>
    <s v="Miller"/>
    <s v="James"/>
    <n v="13892"/>
    <d v="2017-08-21T00:00:00"/>
    <n v="4.3611111111111107"/>
    <n v="42968"/>
    <n v="4.3611111111111107"/>
    <m/>
    <x v="0"/>
    <m/>
    <n v="37.951428571428572"/>
    <n v="53132"/>
    <n v="200"/>
    <n v="7"/>
    <n v="1"/>
    <n v="53132"/>
    <s v="Spotswood Elementary"/>
    <s v="Home School Liaison"/>
    <m/>
    <n v="48500"/>
    <n v="56816"/>
    <n v="65132"/>
  </r>
  <r>
    <s v="Miller"/>
    <s v="Karen"/>
    <n v="14910"/>
    <d v="2020-08-18T00:00:00"/>
    <n v="1.3694444444444445"/>
    <n v="44061"/>
    <n v="1.3694444444444445"/>
    <m/>
    <x v="1"/>
    <m/>
    <n v="40.924799999999998"/>
    <n v="76734"/>
    <n v="250"/>
    <n v="7.5"/>
    <n v="1"/>
    <n v="76734"/>
    <s v="Central Office"/>
    <s v="Instructional Technology Coordinator"/>
    <m/>
    <n v="72151"/>
    <n v="85836"/>
    <n v="99521"/>
  </r>
  <r>
    <s v="Miller"/>
    <s v="Kimberly"/>
    <n v="11332"/>
    <d v="2008-08-13T00:00:00"/>
    <n v="13.383333333333333"/>
    <n v="39673"/>
    <n v="13.383333333333333"/>
    <m/>
    <x v="0"/>
    <m/>
    <n v="44.324999999999996"/>
    <n v="62055"/>
    <n v="200"/>
    <n v="7"/>
    <n v="1"/>
    <n v="62055"/>
    <s v="Thomas Harrison Middle"/>
    <s v="Reading Specialist"/>
    <m/>
    <n v="48500"/>
    <n v="56816"/>
    <n v="65132"/>
  </r>
  <r>
    <s v="Miller"/>
    <s v="Rhoda"/>
    <n v="15106"/>
    <d v="2021-08-04T00:00:00"/>
    <n v="0.40833333333333333"/>
    <n v="44412"/>
    <n v="0.40833333333333333"/>
    <m/>
    <x v="0"/>
    <m/>
    <n v="38.431428571428569"/>
    <n v="53804"/>
    <n v="200"/>
    <n v="7"/>
    <n v="1"/>
    <n v="53804"/>
    <s v="Thomas Harrison Middle"/>
    <s v="Student Support Specialist"/>
    <m/>
    <n v="48500"/>
    <n v="56816"/>
    <n v="65132"/>
  </r>
  <r>
    <s v="Milton"/>
    <s v="Alayne"/>
    <n v="15040"/>
    <d v="2021-06-02T00:00:00"/>
    <n v="0.5805555555555556"/>
    <n v="44349"/>
    <n v="0.5805555555555556"/>
    <m/>
    <x v="0"/>
    <m/>
    <n v="37.562142857142859"/>
    <n v="52587"/>
    <n v="200"/>
    <n v="7"/>
    <n v="1"/>
    <n v="52587"/>
    <s v="Skyline Middle School"/>
    <s v="English Teacher"/>
    <m/>
    <n v="48500"/>
    <n v="56816"/>
    <n v="65132"/>
  </r>
  <r>
    <s v="Mitchell"/>
    <s v="Lauren"/>
    <n v="14184"/>
    <d v="2018-03-19T00:00:00"/>
    <n v="3.7833333333333332"/>
    <n v="43178"/>
    <n v="3.7833333333333332"/>
    <m/>
    <x v="0"/>
    <m/>
    <n v="37.951428571428572"/>
    <n v="53132"/>
    <n v="200"/>
    <n v="7"/>
    <n v="1"/>
    <n v="53132"/>
    <s v="Spotswood Elementary"/>
    <s v="Special Education Teacher"/>
    <m/>
    <n v="48500"/>
    <n v="56816"/>
    <n v="65132"/>
  </r>
  <r>
    <s v="Mon"/>
    <s v="Qiang"/>
    <n v="13597"/>
    <d v="2016-08-15T00:00:00"/>
    <n v="5.3777777777777782"/>
    <n v="42597"/>
    <n v="5.3777777777777782"/>
    <m/>
    <x v="0"/>
    <m/>
    <n v="39.505000000000003"/>
    <n v="55307"/>
    <n v="200"/>
    <n v="7"/>
    <n v="1"/>
    <n v="55307"/>
    <s v="Spotswood Elementary"/>
    <s v="ESL Specialist"/>
    <m/>
    <n v="48500"/>
    <n v="56816"/>
    <n v="65132"/>
  </r>
  <r>
    <s v="Mongold"/>
    <s v="Anna"/>
    <n v="14900"/>
    <d v="2020-08-12T00:00:00"/>
    <n v="1.3861111111111111"/>
    <n v="44055"/>
    <n v="1.3861111111111111"/>
    <m/>
    <x v="0"/>
    <m/>
    <n v="36.394285714285715"/>
    <n v="50952"/>
    <n v="200"/>
    <n v="7"/>
    <n v="1"/>
    <n v="50952"/>
    <s v="Keister Elementary"/>
    <s v="Fourth Grade Teacher"/>
    <m/>
    <n v="48500"/>
    <n v="56816"/>
    <n v="65132"/>
  </r>
  <r>
    <s v="Mongold"/>
    <s v="Deborah"/>
    <n v="10705"/>
    <d v="2000-08-16T00:00:00"/>
    <n v="21.375"/>
    <n v="36754"/>
    <n v="21.375"/>
    <m/>
    <x v="0"/>
    <m/>
    <n v="43.382857142857141"/>
    <n v="60736"/>
    <n v="200"/>
    <n v="7"/>
    <n v="1"/>
    <n v="60736"/>
    <s v="Skyline Middle"/>
    <s v="Choral Teacher"/>
    <m/>
    <n v="48500"/>
    <n v="56816"/>
    <n v="65132"/>
  </r>
  <r>
    <s v="Mongold"/>
    <s v="Madalyn"/>
    <n v="15105"/>
    <d v="2021-08-04T00:00:00"/>
    <n v="0.40833333333333333"/>
    <n v="44412"/>
    <n v="0.40833333333333333"/>
    <m/>
    <x v="0"/>
    <m/>
    <n v="34.642857142857146"/>
    <n v="48500"/>
    <n v="200"/>
    <n v="7"/>
    <n v="1"/>
    <n v="48500"/>
    <s v="Thomas Harrison Middle"/>
    <s v="Math Teacher"/>
    <m/>
    <n v="48500"/>
    <n v="56816"/>
    <n v="65132"/>
  </r>
  <r>
    <s v="Monjeza"/>
    <s v="Olga"/>
    <n v="14177"/>
    <d v="2018-03-21T00:00:00"/>
    <n v="3.7777777777777777"/>
    <n v="43180"/>
    <n v="3.7777777777777777"/>
    <m/>
    <x v="0"/>
    <m/>
    <n v="34.865000000000002"/>
    <n v="48811"/>
    <n v="200"/>
    <n v="7"/>
    <n v="1"/>
    <n v="48811"/>
    <s v="Keister Elementary"/>
    <s v="Special Education Teacher"/>
    <m/>
    <n v="48500"/>
    <n v="56816"/>
    <n v="65132"/>
  </r>
  <r>
    <s v="Montgomery"/>
    <s v="Sondra"/>
    <n v="14595"/>
    <d v="2019-08-12T00:00:00"/>
    <n v="2.3861111111111111"/>
    <n v="43689"/>
    <n v="2.3861111111111111"/>
    <m/>
    <x v="0"/>
    <m/>
    <n v="44.324999999999996"/>
    <n v="62055"/>
    <n v="200"/>
    <n v="7"/>
    <n v="1"/>
    <n v="62055"/>
    <s v="Thomas Harrison Middle"/>
    <s v="Math Teacher"/>
    <m/>
    <n v="48500"/>
    <n v="56816"/>
    <n v="65132"/>
  </r>
  <r>
    <s v="Moody"/>
    <s v="Carla"/>
    <n v="14939"/>
    <d v="2020-11-30T00:00:00"/>
    <n v="1.086111111111111"/>
    <n v="44165"/>
    <n v="1.086111111111111"/>
    <m/>
    <x v="0"/>
    <m/>
    <n v="42.532467532467535"/>
    <n v="65500"/>
    <n v="220"/>
    <n v="7"/>
    <n v="1"/>
    <n v="65500"/>
    <s v="Central Office"/>
    <s v="Smart Beginnings Director"/>
    <m/>
    <n v="48500"/>
    <n v="56816"/>
    <n v="65132"/>
  </r>
  <r>
    <s v="Moore"/>
    <s v="Brittany"/>
    <n v="13830"/>
    <d v="2017-06-01T00:00:00"/>
    <n v="4.583333333333333"/>
    <n v="42887"/>
    <n v="4.583333333333333"/>
    <m/>
    <x v="0"/>
    <m/>
    <n v="35.597857142857144"/>
    <n v="49837"/>
    <n v="200"/>
    <n v="7"/>
    <n v="1"/>
    <n v="49837"/>
    <s v="Harrisonburg High"/>
    <s v="Math Teacher"/>
    <m/>
    <n v="48500"/>
    <n v="56816"/>
    <n v="65132"/>
  </r>
  <r>
    <s v="Moore"/>
    <s v="Deanna"/>
    <n v="12781"/>
    <d v="2014-08-11T00:00:00"/>
    <n v="7.3888888888888893"/>
    <n v="41862"/>
    <n v="7.3888888888888893"/>
    <m/>
    <x v="0"/>
    <m/>
    <n v="39.901428571428575"/>
    <n v="55862"/>
    <n v="200"/>
    <n v="7"/>
    <n v="1"/>
    <n v="55862"/>
    <s v="Smithland Elementary"/>
    <s v="ESL Specialist"/>
    <m/>
    <n v="48500"/>
    <n v="56816"/>
    <n v="65132"/>
  </r>
  <r>
    <s v="Morgan"/>
    <s v="Erin"/>
    <n v="14992"/>
    <d v="2021-03-08T00:00:00"/>
    <n v="0.81388888888888888"/>
    <n v="44263"/>
    <n v="0.81388888888888888"/>
    <m/>
    <x v="0"/>
    <m/>
    <n v="34.642857142857146"/>
    <n v="48500"/>
    <n v="200"/>
    <n v="7"/>
    <n v="1"/>
    <n v="48500"/>
    <s v="Stone Spring Elementary"/>
    <s v="Second Grade Teacher"/>
    <m/>
    <n v="48500"/>
    <n v="56816"/>
    <n v="65132"/>
  </r>
  <r>
    <s v="Morrell"/>
    <s v="Richard"/>
    <n v="10149"/>
    <d v="2000-10-02T00:00:00"/>
    <n v="21.247222222222224"/>
    <n v="36801"/>
    <n v="21.247222222222224"/>
    <m/>
    <x v="0"/>
    <m/>
    <n v="46.522857142857148"/>
    <n v="65132"/>
    <n v="200"/>
    <n v="7"/>
    <n v="1"/>
    <n v="65132"/>
    <s v="Harrisonburg High"/>
    <s v="English Teacher"/>
    <m/>
    <n v="48500"/>
    <n v="56816"/>
    <n v="65132"/>
  </r>
  <r>
    <s v="Morris"/>
    <s v="Anna"/>
    <n v="12261"/>
    <d v="2012-04-09T00:00:00"/>
    <n v="9.7277777777777779"/>
    <n v="41008"/>
    <n v="9.7277777777777779"/>
    <m/>
    <x v="0"/>
    <m/>
    <n v="35.597857142857144"/>
    <n v="49837"/>
    <n v="200"/>
    <n v="7"/>
    <n v="1"/>
    <n v="49837"/>
    <s v="Central Office"/>
    <s v="Mental Health Counselor"/>
    <m/>
    <n v="48500"/>
    <n v="56816"/>
    <n v="65132"/>
  </r>
  <r>
    <s v="Morris"/>
    <s v="Emily"/>
    <n v="14219"/>
    <d v="2018-08-13T00:00:00"/>
    <n v="3.3833333333333333"/>
    <n v="43325"/>
    <n v="3.3833333333333333"/>
    <m/>
    <x v="0"/>
    <m/>
    <n v="35.25"/>
    <n v="49350"/>
    <n v="200"/>
    <n v="7"/>
    <n v="1"/>
    <n v="49350"/>
    <s v="Skyline Middle"/>
    <s v="ESL Specialist"/>
    <m/>
    <n v="48500"/>
    <n v="56816"/>
    <n v="65132"/>
  </r>
  <r>
    <s v="Morris"/>
    <s v="Eric"/>
    <n v="13516"/>
    <d v="2016-08-13T00:00:00"/>
    <n v="5.3833333333333337"/>
    <n v="42595"/>
    <n v="5.3833333333333337"/>
    <m/>
    <x v="0"/>
    <m/>
    <n v="51.747857142857143"/>
    <n v="72447"/>
    <n v="200"/>
    <n v="7"/>
    <n v="1"/>
    <n v="72447"/>
    <s v="Harrisonburg High"/>
    <s v="Math Teacher"/>
    <m/>
    <n v="48500"/>
    <n v="56816"/>
    <n v="65132"/>
  </r>
  <r>
    <s v="Moyers"/>
    <s v="Jennifer"/>
    <n v="10984"/>
    <d v="2003-06-09T00:00:00"/>
    <n v="18.56111111111111"/>
    <n v="37781"/>
    <n v="18.56111111111111"/>
    <m/>
    <x v="0"/>
    <m/>
    <n v="37.562142857142859"/>
    <n v="52587"/>
    <n v="200"/>
    <n v="7"/>
    <n v="1"/>
    <n v="52587"/>
    <s v="Waterman Elementary"/>
    <s v="Kindergarten Teacher"/>
    <m/>
    <n v="48500"/>
    <n v="56816"/>
    <n v="65132"/>
  </r>
  <r>
    <s v="Moyers"/>
    <s v="Kirk"/>
    <n v="10150"/>
    <d v="1998-08-18T00:00:00"/>
    <n v="23.369444444444444"/>
    <n v="36025"/>
    <n v="23.369444444444444"/>
    <m/>
    <x v="1"/>
    <m/>
    <n v="51.136533333333333"/>
    <n v="95881"/>
    <n v="250"/>
    <n v="7.5"/>
    <n v="1"/>
    <n v="95881"/>
    <s v="Central Office"/>
    <s v="Social Studies Coordinator/Teacher"/>
    <m/>
    <n v="72151"/>
    <n v="85836"/>
    <n v="99521"/>
  </r>
  <r>
    <s v="Mturi"/>
    <s v="Kajungu"/>
    <n v="13689"/>
    <d v="2016-09-06T00:00:00"/>
    <n v="5.3194444444444446"/>
    <n v="42619"/>
    <n v="5.3194444444444446"/>
    <m/>
    <x v="0"/>
    <m/>
    <n v="35.007857142857141"/>
    <n v="49011"/>
    <n v="200"/>
    <n v="7"/>
    <n v="1"/>
    <n v="49011"/>
    <s v="Central Office"/>
    <s v="Home School Liaison"/>
    <m/>
    <n v="48500"/>
    <n v="56816"/>
    <n v="65132"/>
  </r>
  <r>
    <s v="Mumaw"/>
    <s v="Austin"/>
    <n v="13522"/>
    <d v="2016-07-01T00:00:00"/>
    <n v="5.5"/>
    <n v="42552"/>
    <n v="5.5"/>
    <m/>
    <x v="0"/>
    <m/>
    <n v="35.952857142857141"/>
    <n v="50334"/>
    <n v="200"/>
    <n v="7"/>
    <n v="1"/>
    <n v="50334"/>
    <s v="Spotswood Elementary"/>
    <s v="Fifth Grade Teacher"/>
    <m/>
    <n v="48500"/>
    <n v="56816"/>
    <n v="65132"/>
  </r>
  <r>
    <s v="Mumaw"/>
    <s v="Jana"/>
    <n v="12251"/>
    <d v="2012-03-21T00:00:00"/>
    <n v="9.7777777777777786"/>
    <n v="40989"/>
    <n v="9.7777777777777786"/>
    <m/>
    <x v="0"/>
    <m/>
    <n v="37.562142857142859"/>
    <n v="52587"/>
    <n v="200"/>
    <n v="7"/>
    <n v="1"/>
    <n v="52587"/>
    <s v="Smithland Elementary"/>
    <s v="First Grade Teacher"/>
    <m/>
    <n v="48500"/>
    <n v="56816"/>
    <n v="65132"/>
  </r>
  <r>
    <s v="Mumaw"/>
    <s v="Jeffrey"/>
    <n v="13618"/>
    <d v="2016-08-15T00:00:00"/>
    <n v="5.3777777777777782"/>
    <n v="42597"/>
    <n v="5.3777777777777782"/>
    <m/>
    <x v="0"/>
    <m/>
    <n v="38.344285714285718"/>
    <n v="53682"/>
    <n v="200"/>
    <n v="7"/>
    <n v="1"/>
    <n v="53682"/>
    <s v="Harrisonburg High"/>
    <s v="Math Teacher"/>
    <m/>
    <n v="48500"/>
    <n v="56816"/>
    <n v="65132"/>
  </r>
  <r>
    <s v="Munns"/>
    <s v="Virginia"/>
    <n v="11133"/>
    <d v="2005-08-11T00:00:00"/>
    <n v="16.388888888888889"/>
    <n v="38575"/>
    <n v="16.388888888888889"/>
    <m/>
    <x v="0"/>
    <m/>
    <n v="45.785714285714285"/>
    <n v="64100"/>
    <n v="200"/>
    <n v="7"/>
    <n v="1"/>
    <n v="64100"/>
    <s v="Central Office"/>
    <s v="Behavior Specialist"/>
    <m/>
    <n v="48500"/>
    <n v="56816"/>
    <n v="65132"/>
  </r>
  <r>
    <s v="Musser"/>
    <s v="Sheri"/>
    <n v="10065"/>
    <d v="2006-10-09T00:00:00"/>
    <n v="15.227777777777778"/>
    <n v="38999"/>
    <n v="15.227777777777778"/>
    <m/>
    <x v="0"/>
    <m/>
    <n v="38.344285714285718"/>
    <n v="53682"/>
    <n v="200"/>
    <n v="7"/>
    <n v="1"/>
    <n v="53682"/>
    <s v="Bluestone Elementary"/>
    <s v="ESL Specialist"/>
    <m/>
    <n v="48500"/>
    <n v="56816"/>
    <n v="65132"/>
  </r>
  <r>
    <s v="Muterspaugh"/>
    <s v="Krystal"/>
    <n v="10475"/>
    <d v="2005-08-11T00:00:00"/>
    <n v="16.388888888888889"/>
    <n v="38575"/>
    <n v="16.388888888888889"/>
    <m/>
    <x v="0"/>
    <m/>
    <n v="39.035000000000004"/>
    <n v="54649"/>
    <n v="200"/>
    <n v="7"/>
    <n v="1"/>
    <n v="54649"/>
    <s v="Thomas Harrison Middle"/>
    <s v="Reading Specialist/Instructional Coach"/>
    <m/>
    <n v="48500"/>
    <n v="56816"/>
    <n v="65132"/>
  </r>
  <r>
    <s v="Napolitano"/>
    <s v="Kelsey"/>
    <n v="14604"/>
    <d v="2019-08-12T00:00:00"/>
    <n v="2.3861111111111111"/>
    <n v="43689"/>
    <n v="2.3861111111111111"/>
    <m/>
    <x v="0"/>
    <m/>
    <n v="35.952857142857141"/>
    <n v="50334"/>
    <n v="200"/>
    <n v="7"/>
    <n v="1"/>
    <n v="50334"/>
    <s v="Harrisonburg High"/>
    <s v="World Language Teacher"/>
    <m/>
    <n v="48500"/>
    <n v="56816"/>
    <n v="65132"/>
  </r>
  <r>
    <s v="Nelson"/>
    <s v="Laura"/>
    <n v="10153"/>
    <d v="2001-10-16T00:00:00"/>
    <n v="20.208333333333332"/>
    <n v="37180"/>
    <n v="20.208333333333332"/>
    <m/>
    <x v="0"/>
    <m/>
    <n v="39.505000000000003"/>
    <n v="55307"/>
    <n v="200"/>
    <n v="7"/>
    <n v="1"/>
    <n v="55307"/>
    <s v="Harrisonburg High"/>
    <s v="ESL Specialist"/>
    <m/>
    <n v="48500"/>
    <n v="56816"/>
    <n v="65132"/>
  </r>
  <r>
    <s v="Nelson"/>
    <s v="Stephanie"/>
    <n v="10707"/>
    <d v="2001-02-02T00:00:00"/>
    <n v="20.913888888888888"/>
    <n v="36924"/>
    <n v="20.913888888888888"/>
    <m/>
    <x v="0"/>
    <m/>
    <n v="40.692857142857143"/>
    <n v="56970"/>
    <n v="200"/>
    <n v="7"/>
    <n v="1"/>
    <n v="56970"/>
    <s v="Thomas Harrison Middle"/>
    <s v="STEM Coordinator"/>
    <m/>
    <n v="48500"/>
    <n v="56816"/>
    <n v="65132"/>
  </r>
  <r>
    <s v="Nguyen"/>
    <s v="Sophia"/>
    <n v="15120"/>
    <d v="2021-08-04T00:00:00"/>
    <n v="0.40833333333333333"/>
    <n v="44412"/>
    <n v="0.40833333333333333"/>
    <m/>
    <x v="0"/>
    <m/>
    <n v="35.25"/>
    <n v="49350"/>
    <n v="200"/>
    <n v="7"/>
    <n v="1"/>
    <n v="49350"/>
    <s v="Thomas Harrison Middle"/>
    <s v="English Teacher"/>
    <m/>
    <n v="48500"/>
    <n v="56816"/>
    <n v="65132"/>
  </r>
  <r>
    <s v="Nichols"/>
    <s v="Denise"/>
    <n v="14552"/>
    <d v="2019-08-12T00:00:00"/>
    <n v="2.3861111111111111"/>
    <n v="43689"/>
    <n v="2.3861111111111111"/>
    <m/>
    <x v="0"/>
    <m/>
    <n v="40.299285714285716"/>
    <n v="56419"/>
    <n v="200"/>
    <n v="7"/>
    <n v="1"/>
    <n v="56419"/>
    <s v="Skyline Middle School"/>
    <s v="English Teacher"/>
    <m/>
    <n v="48500"/>
    <n v="56816"/>
    <n v="65132"/>
  </r>
  <r>
    <s v="Nichols"/>
    <s v="Hannah"/>
    <n v="14988"/>
    <d v="2021-03-08T00:00:00"/>
    <n v="0.81388888888888888"/>
    <n v="44263"/>
    <n v="0.81388888888888888"/>
    <m/>
    <x v="0"/>
    <m/>
    <n v="34.642857142857146"/>
    <n v="48500"/>
    <n v="200"/>
    <n v="7"/>
    <n v="1"/>
    <n v="48500"/>
    <s v="Smithland Elementary"/>
    <s v="Fifth Grade Teacher"/>
    <m/>
    <n v="48500"/>
    <n v="56816"/>
    <n v="65132"/>
  </r>
  <r>
    <s v="Nicklas"/>
    <s v="Sarah"/>
    <n v="11117"/>
    <d v="2003-10-21T00:00:00"/>
    <n v="18.194444444444443"/>
    <n v="37915"/>
    <n v="18.194444444444443"/>
    <m/>
    <x v="0"/>
    <m/>
    <n v="39.035000000000004"/>
    <n v="54649"/>
    <n v="200"/>
    <n v="7"/>
    <n v="1"/>
    <n v="54649"/>
    <s v="Stone Spring Elementary"/>
    <s v="First Grade Teacher"/>
    <m/>
    <n v="48500"/>
    <n v="56816"/>
    <n v="65132"/>
  </r>
  <r>
    <s v="Nokes"/>
    <s v="Wendy"/>
    <n v="14895"/>
    <d v="2020-08-12T00:00:00"/>
    <n v="1.3861111111111111"/>
    <n v="44055"/>
    <n v="1.3861111111111111"/>
    <m/>
    <x v="0"/>
    <m/>
    <n v="34.865000000000002"/>
    <n v="48811"/>
    <n v="200"/>
    <n v="7"/>
    <n v="1"/>
    <n v="48811"/>
    <s v="Waterman Elementary"/>
    <s v="Fourth Grade Teacher"/>
    <m/>
    <n v="48500"/>
    <n v="56816"/>
    <n v="65132"/>
  </r>
  <r>
    <s v="Noll"/>
    <s v="Katie"/>
    <n v="14285"/>
    <d v="2018-08-13T00:00:00"/>
    <n v="3.3833333333333333"/>
    <n v="43325"/>
    <n v="3.3833333333333333"/>
    <m/>
    <x v="0"/>
    <m/>
    <n v="36.780714285714282"/>
    <n v="51493"/>
    <n v="200"/>
    <n v="7"/>
    <n v="1"/>
    <n v="51493"/>
    <s v="Keister Elementary"/>
    <s v="Early Childhood SPED Teacher"/>
    <m/>
    <n v="48500"/>
    <n v="56816"/>
    <n v="65132"/>
  </r>
  <r>
    <s v="Norment"/>
    <s v="Christina"/>
    <n v="10583"/>
    <d v="2006-08-14T00:00:00"/>
    <n v="15.380555555555556"/>
    <n v="38943"/>
    <n v="15.380555555555556"/>
    <m/>
    <x v="0"/>
    <m/>
    <n v="38.34415584415585"/>
    <n v="59050"/>
    <n v="220"/>
    <n v="7"/>
    <n v="1"/>
    <n v="59050"/>
    <s v="Harrisonburg High"/>
    <s v="School Counselor"/>
    <m/>
    <n v="48500"/>
    <n v="56816"/>
    <n v="65132"/>
  </r>
  <r>
    <s v="Nussbaum"/>
    <s v="Brian"/>
    <n v="10709"/>
    <d v="2006-08-09T00:00:00"/>
    <n v="15.394444444444444"/>
    <n v="38938"/>
    <n v="15.394444444444444"/>
    <m/>
    <x v="1"/>
    <m/>
    <n v="42.440000000000005"/>
    <n v="79575"/>
    <n v="250"/>
    <n v="7.5"/>
    <n v="1"/>
    <n v="79575"/>
    <s v="Central Office"/>
    <s v="Secondary Mathematics Coord/Testing Director"/>
    <m/>
    <n v="72151"/>
    <n v="85836"/>
    <n v="99521"/>
  </r>
  <r>
    <s v="Nussbaum"/>
    <s v="Lynette"/>
    <n v="11253"/>
    <d v="2008-08-13T00:00:00"/>
    <n v="13.383333333333333"/>
    <n v="39673"/>
    <n v="13.383333333333333"/>
    <m/>
    <x v="0"/>
    <m/>
    <n v="39.035000000000004"/>
    <n v="54649"/>
    <n v="200"/>
    <n v="7"/>
    <n v="1"/>
    <n v="54649"/>
    <s v="Thomas Harrison Middle"/>
    <s v="SPED Teacher"/>
    <m/>
    <n v="48500"/>
    <n v="56816"/>
    <n v="65132"/>
  </r>
  <r>
    <s v="Nyce"/>
    <s v="Benjamin"/>
    <n v="13039"/>
    <d v="2016-10-05T00:00:00"/>
    <n v="5.2388888888888889"/>
    <n v="42648"/>
    <n v="5.2388888888888889"/>
    <m/>
    <x v="0"/>
    <m/>
    <n v="34.865000000000002"/>
    <n v="48811"/>
    <n v="200"/>
    <n v="7"/>
    <n v="1"/>
    <n v="48811"/>
    <s v="Thomas Harrison Middle"/>
    <s v="SPED Teacher"/>
    <m/>
    <n v="48500"/>
    <n v="56816"/>
    <n v="65132"/>
  </r>
  <r>
    <s v="Oakes"/>
    <s v="Christina"/>
    <n v="12192"/>
    <d v="2012-01-02T00:00:00"/>
    <n v="9.9972222222222218"/>
    <n v="40910"/>
    <n v="9.9972222222222218"/>
    <m/>
    <x v="0"/>
    <m/>
    <n v="37.951428571428572"/>
    <n v="53132"/>
    <n v="200"/>
    <n v="7"/>
    <n v="1"/>
    <n v="53132"/>
    <s v="Harrisonburg High"/>
    <s v="Social Studies Teacher"/>
    <m/>
    <n v="48500"/>
    <n v="56816"/>
    <n v="65132"/>
  </r>
  <r>
    <s v="Obenschain"/>
    <s v="Faye"/>
    <n v="10710"/>
    <d v="1989-10-23T00:00:00"/>
    <n v="32.18888888888889"/>
    <n v="32804"/>
    <n v="32.18888888888889"/>
    <m/>
    <x v="0"/>
    <m/>
    <n v="48.181428571428569"/>
    <n v="67454"/>
    <n v="200"/>
    <n v="7"/>
    <n v="1"/>
    <n v="67454"/>
    <s v="Skyline Middle"/>
    <s v="Math Teacher"/>
    <m/>
    <n v="48500"/>
    <n v="56816"/>
    <n v="65132"/>
  </r>
  <r>
    <s v="Ochoa"/>
    <s v="Elizabeth"/>
    <n v="13492"/>
    <d v="2016-08-15T00:00:00"/>
    <n v="5.3777777777777782"/>
    <n v="42597"/>
    <n v="5.3777777777777782"/>
    <m/>
    <x v="0"/>
    <m/>
    <n v="35.952857142857141"/>
    <n v="50334"/>
    <n v="200"/>
    <n v="7"/>
    <n v="1"/>
    <n v="50334"/>
    <s v="Bluestone Elementary"/>
    <s v="Second Grade Teacher"/>
    <m/>
    <n v="48500"/>
    <n v="56816"/>
    <n v="65132"/>
  </r>
  <r>
    <s v="Offenbacker-Koogler"/>
    <s v="Tammy"/>
    <n v="11009"/>
    <d v="2003-07-01T00:00:00"/>
    <n v="18.5"/>
    <n v="37803"/>
    <n v="18.5"/>
    <m/>
    <x v="0"/>
    <m/>
    <n v="46.522857142857148"/>
    <n v="65132"/>
    <n v="200"/>
    <n v="7"/>
    <n v="1"/>
    <n v="65132"/>
    <s v="Waterman Elementary"/>
    <s v="ESL Specialist"/>
    <m/>
    <n v="48500"/>
    <n v="56816"/>
    <n v="65132"/>
  </r>
  <r>
    <s v="Ogundipe"/>
    <s v="Ganiat"/>
    <n v="12077"/>
    <d v="2011-08-15T00:00:00"/>
    <n v="10.377777777777778"/>
    <n v="40770"/>
    <n v="10.377777777777778"/>
    <m/>
    <x v="0"/>
    <m/>
    <n v="37.951428571428572"/>
    <n v="53132"/>
    <n v="200"/>
    <n v="7"/>
    <n v="1"/>
    <n v="53132"/>
    <s v="Skyline Middle School"/>
    <s v="Science Teacher"/>
    <m/>
    <n v="48500"/>
    <n v="56816"/>
    <n v="65132"/>
  </r>
  <r>
    <s v="Olay-May"/>
    <s v="Olma"/>
    <n v="13244"/>
    <d v="2015-08-17T00:00:00"/>
    <n v="6.3722222222222218"/>
    <n v="42233"/>
    <n v="6.3722222222222218"/>
    <m/>
    <x v="0"/>
    <m/>
    <n v="37.562142857142859"/>
    <n v="52587"/>
    <n v="200"/>
    <n v="7"/>
    <n v="1"/>
    <n v="52587"/>
    <s v="Skyline Middle School"/>
    <s v="SPED Teacher"/>
    <m/>
    <n v="48500"/>
    <n v="56816"/>
    <n v="65132"/>
  </r>
  <r>
    <s v="Orebaugh"/>
    <s v="Elizabeth"/>
    <n v="11770"/>
    <d v="2010-06-17T00:00:00"/>
    <n v="11.53888888888889"/>
    <n v="40346"/>
    <n v="11.53888888888889"/>
    <m/>
    <x v="5"/>
    <m/>
    <n v="38.890237175951462"/>
    <n v="35254"/>
    <n v="185"/>
    <n v="4.9000000000000004"/>
    <n v="0.7"/>
    <n v="50362.857142857145"/>
    <s v="Harrisonburg High"/>
    <s v="4-T Instructor"/>
    <m/>
    <n v="44862.5"/>
    <n v="52554.8"/>
    <n v="60247.1"/>
  </r>
  <r>
    <s v="Ortiz-Ildefonso"/>
    <s v="Maria"/>
    <n v="13640"/>
    <d v="2016-08-15T00:00:00"/>
    <n v="5.3777777777777782"/>
    <n v="42597"/>
    <n v="5.3777777777777782"/>
    <m/>
    <x v="0"/>
    <m/>
    <n v="41.482142857142854"/>
    <n v="58075"/>
    <n v="200"/>
    <n v="7"/>
    <n v="1"/>
    <n v="58075"/>
    <s v="Waterman Elementary"/>
    <s v="Third Grade Teacher"/>
    <m/>
    <n v="48500"/>
    <n v="56816"/>
    <n v="65132"/>
  </r>
  <r>
    <s v="Ours"/>
    <s v="Meagan"/>
    <n v="13625"/>
    <d v="2017-01-02T00:00:00"/>
    <n v="4.9972222222222218"/>
    <n v="42737"/>
    <n v="4.9972222222222218"/>
    <m/>
    <x v="0"/>
    <m/>
    <n v="35.952857142857141"/>
    <n v="50334"/>
    <n v="200"/>
    <n v="7"/>
    <n v="1"/>
    <n v="50334"/>
    <s v="Smithland Elementary"/>
    <s v="Second Grade Teacher"/>
    <m/>
    <n v="48500"/>
    <n v="56816"/>
    <n v="65132"/>
  </r>
  <r>
    <s v="Oyer"/>
    <s v="Trevor"/>
    <n v="14907"/>
    <d v="2020-08-12T00:00:00"/>
    <n v="1.3861111111111111"/>
    <n v="44055"/>
    <n v="1.3861111111111111"/>
    <m/>
    <x v="0"/>
    <m/>
    <n v="34.865000000000002"/>
    <n v="48811"/>
    <n v="200"/>
    <n v="7"/>
    <n v="1"/>
    <n v="48811"/>
    <s v="Skyline Middle School"/>
    <s v="Social Studies Teacher"/>
    <m/>
    <n v="48500"/>
    <n v="56816"/>
    <n v="65132"/>
  </r>
  <r>
    <s v="Pandolfi"/>
    <s v="Camila"/>
    <n v="12253"/>
    <d v="2012-05-02T00:00:00"/>
    <n v="9.6638888888888896"/>
    <n v="41031"/>
    <n v="9.6638888888888896"/>
    <m/>
    <x v="0"/>
    <m/>
    <n v="37.562142857142859"/>
    <n v="52587"/>
    <n v="200"/>
    <n v="7"/>
    <n v="1"/>
    <n v="52587"/>
    <s v="Central Office"/>
    <s v="Fifth Grade Teacher"/>
    <m/>
    <n v="48500"/>
    <n v="56816"/>
    <n v="65132"/>
  </r>
  <r>
    <s v="Park"/>
    <s v="Erica"/>
    <n v="14587"/>
    <d v="2019-08-12T00:00:00"/>
    <n v="2.3861111111111111"/>
    <n v="43689"/>
    <n v="2.3861111111111111"/>
    <m/>
    <x v="0"/>
    <m/>
    <n v="35.007857142857141"/>
    <n v="49011"/>
    <n v="200"/>
    <n v="7"/>
    <n v="1"/>
    <n v="49011"/>
    <s v="Bluestone Elementary"/>
    <s v="Third Grade Teacher"/>
    <m/>
    <n v="48500"/>
    <n v="56816"/>
    <n v="65132"/>
  </r>
  <r>
    <s v="Parsons"/>
    <s v="Melody"/>
    <n v="14176"/>
    <d v="2019-05-10T00:00:00"/>
    <n v="2.6416666666666666"/>
    <n v="43595"/>
    <n v="2.6416666666666666"/>
    <m/>
    <x v="0"/>
    <m/>
    <n v="34.865000000000002"/>
    <n v="48811"/>
    <n v="200"/>
    <n v="7"/>
    <n v="1"/>
    <n v="48811"/>
    <s v="Bluestone Elementary"/>
    <s v="Fourth Grade Teacher"/>
    <m/>
    <n v="48500"/>
    <n v="56816"/>
    <n v="65132"/>
  </r>
  <r>
    <s v="Paulus"/>
    <s v="Anne"/>
    <n v="14883"/>
    <d v="2020-08-12T00:00:00"/>
    <n v="1.3861111111111111"/>
    <n v="44055"/>
    <n v="1.3861111111111111"/>
    <m/>
    <x v="0"/>
    <m/>
    <n v="35.597857142857144"/>
    <n v="49837"/>
    <n v="200"/>
    <n v="7"/>
    <n v="1"/>
    <n v="49837"/>
    <s v="Stone Spring Elementary"/>
    <s v="Second Grade Teacher"/>
    <m/>
    <n v="48500"/>
    <n v="56816"/>
    <n v="65132"/>
  </r>
  <r>
    <s v="Payne"/>
    <s v="Susan"/>
    <n v="14236"/>
    <d v="2019-04-30T00:00:00"/>
    <n v="2.6694444444444443"/>
    <n v="43585"/>
    <n v="2.6694444444444443"/>
    <m/>
    <x v="0"/>
    <m/>
    <n v="35.007857142857141"/>
    <n v="49011"/>
    <n v="200"/>
    <n v="7"/>
    <n v="1"/>
    <n v="49011"/>
    <s v="Waterman Elementary"/>
    <s v="Kindergarten Teacher"/>
    <m/>
    <n v="48500"/>
    <n v="56816"/>
    <n v="65132"/>
  </r>
  <r>
    <s v="Peake"/>
    <s v="Jeffrey"/>
    <n v="12059"/>
    <d v="2011-08-15T00:00:00"/>
    <n v="10.377777777777778"/>
    <n v="40770"/>
    <n v="10.377777777777778"/>
    <m/>
    <x v="0"/>
    <m/>
    <n v="43.382857142857141"/>
    <n v="60736"/>
    <n v="200"/>
    <n v="7"/>
    <n v="1"/>
    <n v="60736"/>
    <s v="Skyline Middle"/>
    <s v="Science/Social Studies Teacher"/>
    <m/>
    <n v="48500"/>
    <n v="56816"/>
    <n v="65132"/>
  </r>
  <r>
    <s v="Penrod"/>
    <s v="Stacey"/>
    <n v="10478"/>
    <d v="2000-08-16T00:00:00"/>
    <n v="21.375"/>
    <n v="36754"/>
    <n v="21.375"/>
    <m/>
    <x v="0"/>
    <m/>
    <n v="41.482142857142854"/>
    <n v="58075"/>
    <n v="200"/>
    <n v="7"/>
    <n v="1"/>
    <n v="58075"/>
    <s v="Smithland Elementary"/>
    <s v="Instructional Technology Resource Teacher"/>
    <m/>
    <n v="48500"/>
    <n v="56816"/>
    <n v="65132"/>
  </r>
  <r>
    <s v="Perkins"/>
    <s v="Kimberly"/>
    <n v="13211"/>
    <d v="2015-08-17T00:00:00"/>
    <n v="6.3722222222222218"/>
    <n v="42233"/>
    <n v="6.3722222222222218"/>
    <m/>
    <x v="0"/>
    <m/>
    <n v="45.785714285714285"/>
    <n v="64100"/>
    <n v="200"/>
    <n v="7"/>
    <n v="1"/>
    <n v="64100"/>
    <s v="Stone Spring Elementary"/>
    <s v="Fifth Grade Teacher"/>
    <m/>
    <n v="48500"/>
    <n v="56816"/>
    <n v="65132"/>
  </r>
  <r>
    <s v="Perritt"/>
    <s v="Melissa"/>
    <n v="10585"/>
    <d v="2003-08-13T00:00:00"/>
    <n v="18.383333333333333"/>
    <n v="37846"/>
    <n v="18.383333333333333"/>
    <m/>
    <x v="0"/>
    <m/>
    <n v="43.382857142857141"/>
    <n v="60736"/>
    <n v="200"/>
    <n v="7"/>
    <n v="1"/>
    <n v="60736"/>
    <s v="Stone Spring Elementary"/>
    <s v="Special Education Teacher"/>
    <m/>
    <n v="48500"/>
    <n v="56816"/>
    <n v="65132"/>
  </r>
  <r>
    <s v="Perry"/>
    <s v="Durmount"/>
    <n v="11895"/>
    <d v="2010-12-08T00:00:00"/>
    <n v="11.063888888888888"/>
    <n v="40520"/>
    <n v="11.063888888888888"/>
    <m/>
    <x v="0"/>
    <m/>
    <n v="37.562142857142859"/>
    <n v="52587"/>
    <n v="200"/>
    <n v="7"/>
    <n v="1"/>
    <n v="52587"/>
    <s v="Harrisonburg High"/>
    <s v="Special Education Teacher"/>
    <m/>
    <n v="48500"/>
    <n v="56816"/>
    <n v="65132"/>
  </r>
  <r>
    <s v="Perry"/>
    <s v="Ronald"/>
    <n v="12129"/>
    <d v="2011-10-05T00:00:00"/>
    <n v="10.238888888888889"/>
    <n v="40821"/>
    <n v="10.238888888888889"/>
    <m/>
    <x v="0"/>
    <m/>
    <n v="43.382857142857141"/>
    <n v="60736"/>
    <n v="200"/>
    <n v="7"/>
    <n v="1"/>
    <n v="60736"/>
    <s v="Skyline Middle"/>
    <s v="Student Support Specialist"/>
    <m/>
    <n v="48500"/>
    <n v="56816"/>
    <n v="65132"/>
  </r>
  <r>
    <s v="Peyton"/>
    <s v="Danielle"/>
    <n v="10752"/>
    <d v="2006-08-22T00:00:00"/>
    <n v="15.358333333333333"/>
    <n v="38951"/>
    <n v="15.358333333333333"/>
    <m/>
    <x v="0"/>
    <m/>
    <n v="37.575714285714284"/>
    <n v="52606"/>
    <n v="200"/>
    <n v="7"/>
    <n v="1"/>
    <n v="52606"/>
    <s v="Central Office"/>
    <s v="Behavior Specialist"/>
    <m/>
    <n v="48500"/>
    <n v="56816"/>
    <n v="65132"/>
  </r>
  <r>
    <s v="Phillips"/>
    <s v="James"/>
    <n v="12538"/>
    <d v="2013-04-29T00:00:00"/>
    <n v="8.6722222222222225"/>
    <n v="41393"/>
    <n v="8.6722222222222225"/>
    <m/>
    <x v="0"/>
    <m/>
    <n v="37.172142857142852"/>
    <n v="52041"/>
    <n v="200"/>
    <n v="7"/>
    <n v="1"/>
    <n v="52041"/>
    <s v="Harrisonburg High"/>
    <s v="ESL Specialist"/>
    <m/>
    <n v="48500"/>
    <n v="56816"/>
    <n v="65132"/>
  </r>
  <r>
    <s v="Philp"/>
    <s v="Gerald"/>
    <n v="11575"/>
    <d v="2009-08-10T00:00:00"/>
    <n v="12.391666666666667"/>
    <n v="40035"/>
    <n v="12.391666666666667"/>
    <m/>
    <x v="0"/>
    <m/>
    <n v="39.505194805194812"/>
    <n v="60838"/>
    <n v="220"/>
    <n v="7"/>
    <n v="1"/>
    <n v="60838"/>
    <s v="Skyline Middle"/>
    <s v="Band Teacher"/>
    <m/>
    <n v="48500"/>
    <n v="56816"/>
    <n v="65132"/>
  </r>
  <r>
    <s v="Pizarro"/>
    <s v="Shami"/>
    <n v="13023"/>
    <d v="2015-01-05T00:00:00"/>
    <n v="6.9888888888888889"/>
    <n v="42009"/>
    <n v="6.9888888888888889"/>
    <m/>
    <x v="0"/>
    <m/>
    <n v="35.952857142857141"/>
    <n v="50334"/>
    <n v="200"/>
    <n v="7"/>
    <n v="1"/>
    <n v="50334"/>
    <s v="Bluestone Elementary"/>
    <s v="Kindergarten Teacher"/>
    <m/>
    <n v="48500"/>
    <n v="56816"/>
    <n v="65132"/>
  </r>
  <r>
    <s v="Polanco"/>
    <s v="Evelia"/>
    <n v="13383"/>
    <d v="2015-12-02T00:00:00"/>
    <n v="6.0805555555555557"/>
    <n v="42340"/>
    <n v="6.0805555555555557"/>
    <m/>
    <x v="0"/>
    <m/>
    <n v="35.007857142857141"/>
    <n v="49011"/>
    <n v="200"/>
    <n v="7"/>
    <n v="1"/>
    <n v="49011"/>
    <s v="Stone Spring Elementary"/>
    <s v="FLES Teacher"/>
    <m/>
    <n v="48500"/>
    <n v="56816"/>
    <n v="65132"/>
  </r>
  <r>
    <s v="Polanco"/>
    <s v="Fanty"/>
    <n v="14542"/>
    <d v="2019-08-12T00:00:00"/>
    <n v="2.3861111111111111"/>
    <n v="43689"/>
    <n v="2.3861111111111111"/>
    <m/>
    <x v="0"/>
    <m/>
    <n v="35.007857142857141"/>
    <n v="49011"/>
    <n v="200"/>
    <n v="7"/>
    <n v="1"/>
    <n v="49011"/>
    <s v="Harrisonburg High"/>
    <s v="Spanish Teacher"/>
    <m/>
    <n v="48500"/>
    <n v="56816"/>
    <n v="65132"/>
  </r>
  <r>
    <s v="Polk"/>
    <s v="Cody"/>
    <n v="14089"/>
    <d v="2018-01-15T00:00:00"/>
    <n v="3.9611111111111112"/>
    <n v="43115"/>
    <n v="3.9611111111111112"/>
    <m/>
    <x v="0"/>
    <m/>
    <n v="35.597857142857144"/>
    <n v="49837"/>
    <n v="200"/>
    <n v="7"/>
    <n v="1"/>
    <n v="49837"/>
    <s v="Smithland Elementary"/>
    <s v="Second Grade Teacher"/>
    <m/>
    <n v="48500"/>
    <n v="56816"/>
    <n v="65132"/>
  </r>
  <r>
    <s v="Ponton"/>
    <s v="Jessica"/>
    <n v="10924"/>
    <d v="2007-05-14T00:00:00"/>
    <n v="14.630555555555556"/>
    <n v="39216"/>
    <n v="14.630555555555556"/>
    <m/>
    <x v="0"/>
    <m/>
    <n v="37.951428571428572"/>
    <n v="53132"/>
    <n v="200"/>
    <n v="7"/>
    <n v="1"/>
    <n v="53132"/>
    <s v="Keister Elementary"/>
    <s v="Kindergarten Teacher"/>
    <m/>
    <n v="48500"/>
    <n v="56816"/>
    <n v="65132"/>
  </r>
  <r>
    <s v="Pope"/>
    <s v="Sarah"/>
    <n v="14875"/>
    <d v="2020-08-12T00:00:00"/>
    <n v="1.3861111111111111"/>
    <n v="44055"/>
    <n v="1.3861111111111111"/>
    <m/>
    <x v="0"/>
    <m/>
    <n v="35.007857142857141"/>
    <n v="49011"/>
    <n v="200"/>
    <n v="7"/>
    <n v="1"/>
    <n v="49011"/>
    <s v="Skyline Middle School"/>
    <s v="English Teacher"/>
    <m/>
    <n v="48500"/>
    <n v="56816"/>
    <n v="65132"/>
  </r>
  <r>
    <s v="Porter"/>
    <s v="Kara"/>
    <n v="14879"/>
    <d v="2020-08-12T00:00:00"/>
    <n v="1.3861111111111111"/>
    <n v="44055"/>
    <n v="1.3861111111111111"/>
    <m/>
    <x v="0"/>
    <m/>
    <n v="38.431428571428569"/>
    <n v="53804"/>
    <n v="200"/>
    <n v="7"/>
    <n v="1"/>
    <n v="53804"/>
    <s v="Bluestone Elementary"/>
    <s v="Reading Specialist"/>
    <m/>
    <n v="48500"/>
    <n v="56816"/>
    <n v="65132"/>
  </r>
  <r>
    <s v="Portillo"/>
    <s v="Mayra"/>
    <n v="15049"/>
    <d v="2021-07-19T00:00:00"/>
    <n v="0.45"/>
    <n v="44396"/>
    <n v="0.45"/>
    <m/>
    <x v="0"/>
    <m/>
    <n v="34.642857142857146"/>
    <n v="48500"/>
    <n v="200"/>
    <n v="7"/>
    <n v="1"/>
    <n v="48500"/>
    <s v="Spotswood Elementary"/>
    <s v="ESL Specialist"/>
    <m/>
    <n v="48500"/>
    <n v="56816"/>
    <n v="65132"/>
  </r>
  <r>
    <s v="Posey"/>
    <s v="Sharon"/>
    <n v="10714"/>
    <d v="1997-08-01T00:00:00"/>
    <n v="24.416666666666668"/>
    <n v="35643"/>
    <n v="24.416666666666668"/>
    <m/>
    <x v="0"/>
    <m/>
    <n v="56.561428571428571"/>
    <n v="79186"/>
    <n v="200"/>
    <n v="7"/>
    <n v="1"/>
    <n v="79186"/>
    <s v="Waterman Elementary"/>
    <s v="Music Teacher"/>
    <m/>
    <n v="48500"/>
    <n v="56816"/>
    <n v="65132"/>
  </r>
  <r>
    <s v="Powers"/>
    <s v="Amy"/>
    <n v="10159"/>
    <d v="1998-08-18T00:00:00"/>
    <n v="23.369444444444444"/>
    <n v="36025"/>
    <n v="23.369444444444444"/>
    <m/>
    <x v="0"/>
    <m/>
    <n v="41.879870129870135"/>
    <n v="64495"/>
    <n v="220"/>
    <n v="7"/>
    <n v="1"/>
    <n v="64495"/>
    <s v="Skyline Middle"/>
    <s v="School Counselor"/>
    <m/>
    <n v="48500"/>
    <n v="56816"/>
    <n v="65132"/>
  </r>
  <r>
    <s v="Price"/>
    <s v="Zachary"/>
    <n v="14450"/>
    <d v="2018-12-18T00:00:00"/>
    <n v="3.036111111111111"/>
    <n v="43452"/>
    <n v="3.036111111111111"/>
    <m/>
    <x v="0"/>
    <m/>
    <n v="34.865000000000002"/>
    <n v="48811"/>
    <n v="200"/>
    <n v="7"/>
    <n v="1"/>
    <n v="48811"/>
    <s v="Bluestone Elementary"/>
    <s v="Second Grade Teacher"/>
    <m/>
    <n v="48500"/>
    <n v="56816"/>
    <n v="65132"/>
  </r>
  <r>
    <s v="Prickett"/>
    <s v="Virginia"/>
    <n v="14896"/>
    <d v="2020-08-12T00:00:00"/>
    <n v="1.3861111111111111"/>
    <n v="44055"/>
    <n v="1.3861111111111111"/>
    <m/>
    <x v="0"/>
    <m/>
    <n v="36.780714285714282"/>
    <n v="51493"/>
    <n v="200"/>
    <n v="7"/>
    <n v="1"/>
    <n v="51493"/>
    <s v="Stone Spring Elementary"/>
    <s v="PE Teacher"/>
    <m/>
    <n v="48500"/>
    <n v="56816"/>
    <n v="65132"/>
  </r>
  <r>
    <s v="Prior"/>
    <s v="Christine"/>
    <n v="14335"/>
    <d v="2018-08-13T00:00:00"/>
    <n v="3.3833333333333333"/>
    <n v="43325"/>
    <n v="3.3833333333333333"/>
    <m/>
    <x v="0"/>
    <m/>
    <n v="35.952857142857141"/>
    <n v="50334"/>
    <n v="200"/>
    <n v="7"/>
    <n v="1"/>
    <n v="50334"/>
    <s v="Stone Spring Elementary"/>
    <s v="Speech Pathologist"/>
    <m/>
    <n v="48500"/>
    <n v="56816"/>
    <n v="65132"/>
  </r>
  <r>
    <s v="Pruitt"/>
    <s v="Melanie"/>
    <n v="13881"/>
    <d v="2017-08-01T00:00:00"/>
    <n v="4.416666666666667"/>
    <n v="42948"/>
    <n v="4.416666666666667"/>
    <m/>
    <x v="4"/>
    <m/>
    <n v="44.928571428571431"/>
    <n v="62900"/>
    <n v="200"/>
    <n v="7"/>
    <n v="1"/>
    <n v="62900"/>
    <s v="Central Office"/>
    <s v="School Psychologist"/>
    <m/>
    <n v="70472"/>
    <n v="84344"/>
    <n v="98216"/>
  </r>
  <r>
    <s v="Purcell"/>
    <s v="Lauree"/>
    <n v="11174"/>
    <d v="2006-09-19T00:00:00"/>
    <n v="15.283333333333333"/>
    <n v="38979"/>
    <n v="15.283333333333333"/>
    <m/>
    <x v="0"/>
    <m/>
    <n v="35.25"/>
    <n v="49350"/>
    <n v="200"/>
    <n v="7"/>
    <n v="1"/>
    <n v="49350"/>
    <s v="Thomas Harrison Middle"/>
    <s v="SPED Teacher"/>
    <m/>
    <n v="48500"/>
    <n v="56816"/>
    <n v="65132"/>
  </r>
  <r>
    <s v="Purnhagen"/>
    <s v="Lee"/>
    <n v="11762"/>
    <d v="2010-08-11T00:00:00"/>
    <n v="11.388888888888889"/>
    <n v="40401"/>
    <n v="11.388888888888889"/>
    <m/>
    <x v="0"/>
    <m/>
    <n v="39.035000000000004"/>
    <n v="54649"/>
    <n v="200"/>
    <n v="7"/>
    <n v="1"/>
    <n v="54649"/>
    <s v="Smithland Elementary"/>
    <s v="Reading Specialist"/>
    <m/>
    <n v="48500"/>
    <n v="56816"/>
    <n v="65132"/>
  </r>
  <r>
    <s v="Pyle"/>
    <s v="Jessica"/>
    <n v="11241"/>
    <d v="2008-08-13T00:00:00"/>
    <n v="13.383333333333333"/>
    <n v="39673"/>
    <n v="13.383333333333333"/>
    <m/>
    <x v="0"/>
    <m/>
    <n v="41.482142857142854"/>
    <n v="58075"/>
    <n v="200"/>
    <n v="7"/>
    <n v="1"/>
    <n v="58075"/>
    <s v="Skyline Middle"/>
    <s v="Instructional Coach"/>
    <m/>
    <n v="48500"/>
    <n v="56816"/>
    <n v="65132"/>
  </r>
  <r>
    <s v="Que"/>
    <s v="Melissa"/>
    <n v="12160"/>
    <d v="2011-11-07T00:00:00"/>
    <n v="10.15"/>
    <n v="40854"/>
    <n v="10.15"/>
    <m/>
    <x v="0"/>
    <m/>
    <n v="38.890714285714289"/>
    <n v="54447"/>
    <n v="200"/>
    <n v="7"/>
    <n v="1"/>
    <n v="54447"/>
    <s v="Thomas Harrison Middle"/>
    <s v="Science Teacher"/>
    <m/>
    <n v="48500"/>
    <n v="56816"/>
    <n v="65132"/>
  </r>
  <r>
    <s v="Quimby"/>
    <s v="Alan"/>
    <n v="10227"/>
    <d v="2000-08-16T00:00:00"/>
    <n v="21.375"/>
    <n v="36754"/>
    <n v="21.375"/>
    <m/>
    <x v="0"/>
    <m/>
    <n v="41.007857142857141"/>
    <n v="57411"/>
    <n v="200"/>
    <n v="7"/>
    <n v="1"/>
    <n v="57411"/>
    <s v="Skyline Middle"/>
    <s v="Instructional Technology Resource Teacher"/>
    <m/>
    <n v="48500"/>
    <n v="56816"/>
    <n v="65132"/>
  </r>
  <r>
    <s v="Quimby"/>
    <s v="Katherine"/>
    <n v="13175"/>
    <d v="2015-08-17T00:00:00"/>
    <n v="6.3722222222222218"/>
    <n v="42233"/>
    <n v="6.3722222222222218"/>
    <m/>
    <x v="0"/>
    <m/>
    <n v="42.531972789115642"/>
    <n v="62522"/>
    <n v="210"/>
    <n v="7"/>
    <n v="1"/>
    <n v="62522"/>
    <s v="Skyline Middle"/>
    <s v="Media Specialist (Librarian)"/>
    <m/>
    <n v="48500"/>
    <n v="56816"/>
    <n v="65132"/>
  </r>
  <r>
    <s v="Raeburn"/>
    <s v="Lindsay"/>
    <n v="15050"/>
    <d v="2021-08-04T00:00:00"/>
    <n v="0.40833333333333333"/>
    <n v="44412"/>
    <n v="0.40833333333333333"/>
    <m/>
    <x v="0"/>
    <m/>
    <n v="35.25"/>
    <n v="49350"/>
    <n v="200"/>
    <n v="7"/>
    <n v="1"/>
    <n v="49350"/>
    <s v="Skyline Middle School"/>
    <s v="SPED Teacher"/>
    <m/>
    <n v="48500"/>
    <n v="56816"/>
    <n v="65132"/>
  </r>
  <r>
    <s v="Raisch"/>
    <s v="James"/>
    <n v="12341"/>
    <d v="2012-08-14T00:00:00"/>
    <n v="9.3805555555555564"/>
    <n v="41135"/>
    <n v="9.3805555555555564"/>
    <m/>
    <x v="0"/>
    <m/>
    <n v="40.299285714285716"/>
    <n v="56419"/>
    <n v="200"/>
    <n v="7"/>
    <n v="1"/>
    <n v="56419"/>
    <s v="Thomas Harrison Middle"/>
    <s v="History/Science Teacher"/>
    <m/>
    <n v="48500"/>
    <n v="56816"/>
    <n v="65132"/>
  </r>
  <r>
    <s v="Ramos"/>
    <s v="Madeline"/>
    <n v="12375"/>
    <d v="2012-08-22T00:00:00"/>
    <n v="9.3583333333333325"/>
    <n v="41143"/>
    <n v="9.3583333333333325"/>
    <m/>
    <x v="0"/>
    <m/>
    <n v="36.780714285714282"/>
    <n v="51493"/>
    <n v="200"/>
    <n v="7"/>
    <n v="1"/>
    <n v="51493"/>
    <s v="Waterman Elementary"/>
    <s v="Kindergarten Teacher"/>
    <m/>
    <n v="48500"/>
    <n v="56816"/>
    <n v="65132"/>
  </r>
  <r>
    <s v="Randolph"/>
    <s v="Callie"/>
    <n v="11005"/>
    <d v="2006-06-02T00:00:00"/>
    <n v="15.580555555555556"/>
    <n v="38870"/>
    <n v="15.580555555555556"/>
    <m/>
    <x v="0"/>
    <m/>
    <n v="38.344217687074831"/>
    <n v="56366"/>
    <n v="210"/>
    <n v="7"/>
    <n v="1"/>
    <n v="56366"/>
    <s v="Skyline Middle"/>
    <s v="Family Consumer Science Teacher"/>
    <m/>
    <n v="48500"/>
    <n v="56816"/>
    <n v="65132"/>
  </r>
  <r>
    <s v="Rapert"/>
    <s v="Brittany"/>
    <n v="12298"/>
    <d v="2012-08-14T00:00:00"/>
    <n v="9.3805555555555564"/>
    <n v="41135"/>
    <n v="9.3805555555555564"/>
    <m/>
    <x v="0"/>
    <m/>
    <n v="37.562142857142859"/>
    <n v="52587"/>
    <n v="200"/>
    <n v="7"/>
    <n v="1"/>
    <n v="52587"/>
    <s v="Thomas Harrison Middle"/>
    <s v="Health and PE Teacher"/>
    <m/>
    <n v="48500"/>
    <n v="56816"/>
    <n v="65132"/>
  </r>
  <r>
    <s v="Rath"/>
    <s v="Nicole"/>
    <n v="11550"/>
    <d v="2009-08-14T00:00:00"/>
    <n v="12.380555555555556"/>
    <n v="40039"/>
    <n v="12.380555555555556"/>
    <m/>
    <x v="0"/>
    <m/>
    <n v="41.879285714285707"/>
    <n v="58631"/>
    <n v="200"/>
    <n v="7"/>
    <n v="1"/>
    <n v="58631"/>
    <s v="Keister Elementary"/>
    <s v="Kindergarten Teacher"/>
    <m/>
    <n v="48500"/>
    <n v="56816"/>
    <n v="65132"/>
  </r>
  <r>
    <s v="Rath"/>
    <s v="Paul"/>
    <n v="10161"/>
    <d v="1992-08-27T00:00:00"/>
    <n v="29.344444444444445"/>
    <n v="33843"/>
    <n v="29.344444444444445"/>
    <m/>
    <x v="0"/>
    <m/>
    <n v="45.785714285714285"/>
    <n v="64100"/>
    <n v="200"/>
    <n v="7"/>
    <n v="1"/>
    <n v="64100"/>
    <s v="Harrisonburg High"/>
    <s v="Health and PE Teacher"/>
    <m/>
    <n v="48500"/>
    <n v="56816"/>
    <n v="65132"/>
  </r>
  <r>
    <s v="Razak"/>
    <s v="Yasir"/>
    <n v="14616"/>
    <d v="2019-08-19T00:00:00"/>
    <n v="2.3666666666666667"/>
    <n v="43696"/>
    <n v="2.3666666666666667"/>
    <m/>
    <x v="0"/>
    <m/>
    <n v="34.865000000000002"/>
    <n v="48811"/>
    <n v="200"/>
    <n v="7"/>
    <n v="1"/>
    <n v="48811"/>
    <s v="Thomas Harrison Middle"/>
    <s v="ESL Specialist"/>
    <m/>
    <n v="48500"/>
    <n v="56816"/>
    <n v="65132"/>
  </r>
  <r>
    <s v="Rebhun"/>
    <s v="Susan"/>
    <n v="10717"/>
    <d v="1998-08-18T00:00:00"/>
    <n v="23.369444444444444"/>
    <n v="36025"/>
    <n v="23.369444444444444"/>
    <m/>
    <x v="0"/>
    <m/>
    <n v="43.600649350649348"/>
    <n v="67145"/>
    <n v="220"/>
    <n v="7"/>
    <n v="1"/>
    <n v="67145"/>
    <s v="Thomas Harrison Middle"/>
    <s v="School Counselor"/>
    <m/>
    <n v="48500"/>
    <n v="56816"/>
    <n v="65132"/>
  </r>
  <r>
    <s v="Redmond"/>
    <s v="Vanessa"/>
    <n v="12596"/>
    <d v="2013-08-01T00:00:00"/>
    <n v="8.4166666666666661"/>
    <n v="41487"/>
    <n v="8.4166666666666661"/>
    <m/>
    <x v="0"/>
    <m/>
    <n v="37.172077922077918"/>
    <n v="57245"/>
    <n v="220"/>
    <n v="7"/>
    <n v="1"/>
    <n v="57245"/>
    <s v="Thomas Harrison Middle"/>
    <s v="School Counselor"/>
    <m/>
    <n v="48500"/>
    <n v="56816"/>
    <n v="65132"/>
  </r>
  <r>
    <s v="Reger"/>
    <s v="Timothy"/>
    <n v="14863"/>
    <d v="2020-08-05T00:00:00"/>
    <n v="1.4055555555555554"/>
    <n v="44048"/>
    <n v="1.4055555555555554"/>
    <m/>
    <x v="0"/>
    <m/>
    <n v="43.382993197278907"/>
    <n v="63773"/>
    <n v="210"/>
    <n v="7"/>
    <n v="1"/>
    <n v="63773"/>
    <s v="Smithland Elementary"/>
    <s v="Media Specialist (Librarian)"/>
    <m/>
    <n v="48500"/>
    <n v="56816"/>
    <n v="65132"/>
  </r>
  <r>
    <s v="Reibsome"/>
    <s v="Kayla"/>
    <n v="15056"/>
    <d v="2021-08-04T00:00:00"/>
    <n v="0.40833333333333333"/>
    <n v="44412"/>
    <n v="0.40833333333333333"/>
    <m/>
    <x v="0"/>
    <m/>
    <n v="34.642857142857146"/>
    <n v="48500"/>
    <n v="200"/>
    <n v="7"/>
    <n v="1"/>
    <n v="48500"/>
    <s v="Skyline Middle School"/>
    <s v="SPED Teacher"/>
    <m/>
    <n v="48500"/>
    <n v="56816"/>
    <n v="65132"/>
  </r>
  <r>
    <s v="Reichart"/>
    <s v="Hannah"/>
    <n v="13961"/>
    <d v="2017-08-23T00:00:00"/>
    <n v="4.3555555555555552"/>
    <n v="42970"/>
    <n v="4.3555555555555552"/>
    <m/>
    <x v="0"/>
    <m/>
    <n v="35.597857142857144"/>
    <n v="49837"/>
    <n v="200"/>
    <n v="7"/>
    <n v="1"/>
    <n v="49837"/>
    <s v="Smithland Elementary"/>
    <s v="Fourth Grade Teacher"/>
    <m/>
    <n v="48500"/>
    <n v="56816"/>
    <n v="65132"/>
  </r>
  <r>
    <s v="Reid"/>
    <s v="Amanda"/>
    <n v="11872"/>
    <d v="2010-11-08T00:00:00"/>
    <n v="11.147222222222222"/>
    <n v="40490"/>
    <n v="11.147222222222222"/>
    <m/>
    <x v="0"/>
    <m/>
    <n v="39.035000000000004"/>
    <n v="54649"/>
    <n v="200"/>
    <n v="7"/>
    <n v="1"/>
    <n v="54649"/>
    <s v="Keister Elementary"/>
    <s v="Speech Pathologist"/>
    <m/>
    <n v="48500"/>
    <n v="56816"/>
    <n v="65132"/>
  </r>
  <r>
    <s v="Reinhart"/>
    <s v="Mitchell"/>
    <n v="14588"/>
    <d v="2019-08-12T00:00:00"/>
    <n v="2.3861111111111111"/>
    <n v="43689"/>
    <n v="2.3861111111111111"/>
    <m/>
    <x v="0"/>
    <m/>
    <n v="35.007857142857141"/>
    <n v="49011"/>
    <n v="200"/>
    <n v="7"/>
    <n v="1"/>
    <n v="49011"/>
    <s v="Harrisonburg High"/>
    <s v="English Teacher"/>
    <m/>
    <n v="48500"/>
    <n v="56816"/>
    <n v="65132"/>
  </r>
  <r>
    <s v="Rendon"/>
    <s v="Margarita"/>
    <n v="11328"/>
    <d v="2008-08-15T00:00:00"/>
    <n v="13.377777777777778"/>
    <n v="39675"/>
    <n v="13.377777777777778"/>
    <m/>
    <x v="0"/>
    <m/>
    <n v="38.890714285714289"/>
    <n v="54447"/>
    <n v="200"/>
    <n v="7"/>
    <n v="1"/>
    <n v="54447"/>
    <s v="Stone Spring Elementary"/>
    <s v="Home School Liaison"/>
    <m/>
    <n v="48500"/>
    <n v="56816"/>
    <n v="65132"/>
  </r>
  <r>
    <s v="Ressler"/>
    <s v="Sarah"/>
    <n v="15039"/>
    <d v="2021-08-04T00:00:00"/>
    <n v="0.40833333333333333"/>
    <n v="44412"/>
    <n v="0.40833333333333333"/>
    <m/>
    <x v="0"/>
    <m/>
    <n v="34.642857142857146"/>
    <n v="48500"/>
    <n v="200"/>
    <n v="7"/>
    <n v="1"/>
    <n v="48500"/>
    <s v="Waterman Elementary"/>
    <s v="SPED Teacher"/>
    <m/>
    <n v="48500"/>
    <n v="56816"/>
    <n v="65132"/>
  </r>
  <r>
    <s v="Rhodes"/>
    <s v="Donita"/>
    <n v="11042"/>
    <d v="2003-07-17T00:00:00"/>
    <n v="18.455555555555556"/>
    <n v="37819"/>
    <n v="18.455555555555556"/>
    <m/>
    <x v="3"/>
    <m/>
    <n v="47.545454545454547"/>
    <n v="73220"/>
    <n v="220"/>
    <n v="7"/>
    <n v="1"/>
    <n v="73220"/>
    <s v="Central Office"/>
    <s v="School Social Worker"/>
    <m/>
    <n v="68122"/>
    <n v="79259"/>
    <n v="90396"/>
  </r>
  <r>
    <s v="Rice"/>
    <s v="Sean"/>
    <n v="13884"/>
    <d v="2017-08-21T00:00:00"/>
    <n v="4.3611111111111107"/>
    <n v="42968"/>
    <n v="4.3611111111111107"/>
    <m/>
    <x v="0"/>
    <m/>
    <n v="39.035000000000004"/>
    <n v="54649"/>
    <n v="200"/>
    <n v="7"/>
    <n v="1"/>
    <n v="54649"/>
    <s v="Harrisonburg High"/>
    <s v="Social Studies Teacher"/>
    <m/>
    <n v="48500"/>
    <n v="56816"/>
    <n v="65132"/>
  </r>
  <r>
    <s v="Richie"/>
    <s v="Sandra"/>
    <n v="14608"/>
    <d v="2019-08-12T00:00:00"/>
    <n v="2.3861111111111111"/>
    <n v="43689"/>
    <n v="2.3861111111111111"/>
    <m/>
    <x v="0"/>
    <m/>
    <n v="35.007857142857141"/>
    <n v="49011"/>
    <n v="200"/>
    <n v="7"/>
    <n v="1"/>
    <n v="49011"/>
    <s v="Spotswood Elementary"/>
    <s v="Fourth Grade Teacher"/>
    <m/>
    <n v="48500"/>
    <n v="56816"/>
    <n v="65132"/>
  </r>
  <r>
    <s v="Richman"/>
    <s v="Erika"/>
    <n v="14576"/>
    <d v="2019-08-12T00:00:00"/>
    <n v="2.3861111111111111"/>
    <n v="43689"/>
    <n v="2.3861111111111111"/>
    <m/>
    <x v="0"/>
    <m/>
    <n v="40.692857142857143"/>
    <n v="56970"/>
    <n v="200"/>
    <n v="7"/>
    <n v="1"/>
    <n v="56970"/>
    <s v="Waterman Elementary"/>
    <s v="Instructional Coach"/>
    <m/>
    <n v="48500"/>
    <n v="56816"/>
    <n v="65132"/>
  </r>
  <r>
    <s v="Rittenhouse"/>
    <s v="Joel"/>
    <n v="13800"/>
    <d v="2017-05-16T00:00:00"/>
    <n v="4.625"/>
    <n v="42871"/>
    <n v="4.625"/>
    <m/>
    <x v="0"/>
    <m/>
    <n v="35.597857142857144"/>
    <n v="49837"/>
    <n v="200"/>
    <n v="7"/>
    <n v="1"/>
    <n v="49837"/>
    <s v="Keister Elementary"/>
    <s v="School Counselor"/>
    <m/>
    <n v="48500"/>
    <n v="56816"/>
    <n v="65132"/>
  </r>
  <r>
    <s v="Rittenhouse"/>
    <s v="Steven"/>
    <n v="11978"/>
    <d v="2011-04-18T00:00:00"/>
    <n v="10.702777777777778"/>
    <n v="40651"/>
    <n v="10.702777777777778"/>
    <m/>
    <x v="0"/>
    <m/>
    <n v="37.951428571428572"/>
    <n v="53132"/>
    <n v="200"/>
    <n v="7"/>
    <n v="1"/>
    <n v="53132"/>
    <s v="Thomas Harrison Middle"/>
    <s v="Math Teacher"/>
    <m/>
    <n v="48500"/>
    <n v="56816"/>
    <n v="65132"/>
  </r>
  <r>
    <s v="Roach"/>
    <s v="Crystal"/>
    <n v="10162"/>
    <d v="2003-08-27T00:00:00"/>
    <n v="18.344444444444445"/>
    <n v="37860"/>
    <n v="18.344444444444445"/>
    <m/>
    <x v="0"/>
    <m/>
    <n v="39.035000000000004"/>
    <n v="54649"/>
    <n v="200"/>
    <n v="7"/>
    <n v="1"/>
    <n v="54649"/>
    <s v="Harrisonburg High"/>
    <s v="English Teacher"/>
    <m/>
    <n v="48500"/>
    <n v="56816"/>
    <n v="65132"/>
  </r>
  <r>
    <s v="Roadcap"/>
    <s v="Cherie"/>
    <n v="10481"/>
    <d v="2004-11-02T00:00:00"/>
    <n v="17.163888888888888"/>
    <n v="38293"/>
    <n v="17.163888888888888"/>
    <m/>
    <x v="0"/>
    <m/>
    <n v="52.782857142857146"/>
    <n v="73896"/>
    <n v="200"/>
    <n v="7"/>
    <n v="1"/>
    <n v="73896"/>
    <s v="Thomas Harrison Middle"/>
    <s v="Instructional Technology Resource Teacher"/>
    <m/>
    <n v="48500"/>
    <n v="56816"/>
    <n v="65132"/>
  </r>
  <r>
    <s v="Rodriguez"/>
    <s v="Gennesis"/>
    <n v="14954"/>
    <d v="2021-01-04T00:00:00"/>
    <n v="0.9916666666666667"/>
    <n v="44200"/>
    <n v="0.9916666666666667"/>
    <m/>
    <x v="0"/>
    <m/>
    <n v="34.642857142857146"/>
    <n v="48500"/>
    <n v="200"/>
    <n v="7"/>
    <n v="1"/>
    <n v="48500"/>
    <s v="Waterman Elementary"/>
    <s v="Kindergarten DL Teacher"/>
    <m/>
    <n v="48500"/>
    <n v="56816"/>
    <n v="65132"/>
  </r>
  <r>
    <s v="Rodriguez"/>
    <s v="Jennifer"/>
    <n v="12822"/>
    <d v="2014-08-11T00:00:00"/>
    <n v="7.3888888888888893"/>
    <n v="41862"/>
    <n v="7.3888888888888893"/>
    <m/>
    <x v="0"/>
    <m/>
    <n v="39.901428571428575"/>
    <n v="55862"/>
    <n v="200"/>
    <n v="7"/>
    <n v="1"/>
    <n v="55862"/>
    <s v="Waterman Elementary"/>
    <s v="ESL Specialist"/>
    <m/>
    <n v="48500"/>
    <n v="56816"/>
    <n v="65132"/>
  </r>
  <r>
    <s v="Rodriguez"/>
    <s v="Noelia"/>
    <n v="12242"/>
    <d v="2012-03-21T00:00:00"/>
    <n v="9.7777777777777786"/>
    <n v="40989"/>
    <n v="9.7777777777777786"/>
    <m/>
    <x v="0"/>
    <m/>
    <n v="36.780714285714282"/>
    <n v="51493"/>
    <n v="200"/>
    <n v="7"/>
    <n v="1"/>
    <n v="51493"/>
    <s v="Smithland Elementary"/>
    <s v="Fourth Grade Teacher"/>
    <m/>
    <n v="48500"/>
    <n v="56816"/>
    <n v="65132"/>
  </r>
  <r>
    <s v="Rogers"/>
    <s v="Marcella"/>
    <n v="10482"/>
    <d v="2004-08-11T00:00:00"/>
    <n v="17.388888888888889"/>
    <n v="38210"/>
    <n v="17.388888888888889"/>
    <m/>
    <x v="0"/>
    <m/>
    <n v="45.785714285714285"/>
    <n v="64100"/>
    <n v="200"/>
    <n v="7"/>
    <n v="1"/>
    <n v="64100"/>
    <s v="Stone Spring Elementary"/>
    <s v="ESL Specialist"/>
    <m/>
    <n v="48500"/>
    <n v="56816"/>
    <n v="65132"/>
  </r>
  <r>
    <s v="Romero"/>
    <s v="Julianne"/>
    <n v="12361"/>
    <d v="2012-08-14T00:00:00"/>
    <n v="9.3805555555555564"/>
    <n v="41135"/>
    <n v="9.3805555555555564"/>
    <m/>
    <x v="0"/>
    <m/>
    <n v="36.394285714285715"/>
    <n v="50952"/>
    <n v="200"/>
    <n v="7"/>
    <n v="1"/>
    <n v="50952"/>
    <s v="Smithland Elementary"/>
    <s v="ESL Specialist"/>
    <m/>
    <n v="48500"/>
    <n v="56816"/>
    <n v="65132"/>
  </r>
  <r>
    <s v="Romero-Mosqueda"/>
    <s v="Stephanie"/>
    <n v="14544"/>
    <d v="2019-08-12T00:00:00"/>
    <n v="2.3861111111111111"/>
    <n v="43689"/>
    <n v="2.3861111111111111"/>
    <m/>
    <x v="0"/>
    <m/>
    <n v="35.007857142857141"/>
    <n v="49011"/>
    <n v="200"/>
    <n v="7"/>
    <n v="1"/>
    <n v="49011"/>
    <s v="Waterman Elementary"/>
    <s v="School Counselor"/>
    <m/>
    <n v="48500"/>
    <n v="56816"/>
    <n v="65132"/>
  </r>
  <r>
    <s v="Rose"/>
    <s v="Allison"/>
    <n v="14207"/>
    <d v="2019-04-16T00:00:00"/>
    <n v="2.7083333333333335"/>
    <n v="43571"/>
    <n v="2.7083333333333335"/>
    <m/>
    <x v="0"/>
    <m/>
    <n v="35.007857142857141"/>
    <n v="49011"/>
    <n v="200"/>
    <n v="7"/>
    <n v="1"/>
    <n v="49011"/>
    <s v="Bluestone Elementary"/>
    <s v="Third Grade Teacher"/>
    <m/>
    <n v="48500"/>
    <n v="56816"/>
    <n v="65132"/>
  </r>
  <r>
    <s v="Ruckman Jr"/>
    <s v="Michael"/>
    <n v="11122"/>
    <d v="1992-08-27T00:00:00"/>
    <n v="29.344444444444445"/>
    <n v="33843"/>
    <n v="29.344444444444445"/>
    <m/>
    <x v="0"/>
    <m/>
    <n v="45.785714285714285"/>
    <n v="64100"/>
    <n v="200"/>
    <n v="7"/>
    <n v="1"/>
    <n v="64100"/>
    <s v="Waterman Elementary"/>
    <s v="Health and PE Teacher"/>
    <m/>
    <n v="48500"/>
    <n v="56816"/>
    <n v="65132"/>
  </r>
  <r>
    <s v="Rush"/>
    <s v="David"/>
    <n v="11242"/>
    <d v="2008-08-13T00:00:00"/>
    <n v="13.383333333333333"/>
    <n v="39673"/>
    <n v="13.383333333333333"/>
    <m/>
    <x v="0"/>
    <m/>
    <n v="41.482142857142854"/>
    <n v="58075"/>
    <n v="200"/>
    <n v="7"/>
    <n v="1"/>
    <n v="58075"/>
    <s v="Harrisonburg High"/>
    <s v="Math Teacher"/>
    <m/>
    <n v="48500"/>
    <n v="56816"/>
    <n v="65132"/>
  </r>
  <r>
    <s v="Rush"/>
    <s v="Julette"/>
    <n v="11874"/>
    <d v="2010-11-03T00:00:00"/>
    <n v="11.161111111111111"/>
    <n v="40485"/>
    <n v="11.161111111111111"/>
    <m/>
    <x v="0"/>
    <m/>
    <n v="38.431428571428569"/>
    <n v="53804"/>
    <n v="200"/>
    <n v="7"/>
    <n v="1"/>
    <n v="53804"/>
    <s v="Waterman Elementary"/>
    <s v="ESL Specialist"/>
    <m/>
    <n v="48500"/>
    <n v="56816"/>
    <n v="65132"/>
  </r>
  <r>
    <s v="Russell"/>
    <s v="Heather"/>
    <n v="14416"/>
    <d v="2019-08-12T00:00:00"/>
    <n v="2.3861111111111111"/>
    <n v="43689"/>
    <n v="2.3861111111111111"/>
    <m/>
    <x v="0"/>
    <m/>
    <n v="35.952857142857141"/>
    <n v="50334"/>
    <n v="200"/>
    <n v="7"/>
    <n v="1"/>
    <n v="50334"/>
    <s v="Waterman Elementary"/>
    <s v="SPED Teacher"/>
    <m/>
    <n v="48500"/>
    <n v="56816"/>
    <n v="65132"/>
  </r>
  <r>
    <s v="Russo"/>
    <s v="Brittany"/>
    <n v="12579"/>
    <d v="2013-08-13T00:00:00"/>
    <n v="8.3833333333333329"/>
    <n v="41499"/>
    <n v="8.3833333333333329"/>
    <m/>
    <x v="0"/>
    <m/>
    <n v="37.172142857142852"/>
    <n v="52041"/>
    <n v="200"/>
    <n v="7"/>
    <n v="1"/>
    <n v="52041"/>
    <s v="Harrisonburg High"/>
    <s v="Earth Science Teacher"/>
    <m/>
    <n v="48500"/>
    <n v="56816"/>
    <n v="65132"/>
  </r>
  <r>
    <s v="Rutt"/>
    <s v="Jason"/>
    <n v="12762"/>
    <d v="2014-07-01T00:00:00"/>
    <n v="7.5"/>
    <n v="41821"/>
    <n v="7.5"/>
    <m/>
    <x v="4"/>
    <m/>
    <n v="43.240909090909092"/>
    <n v="66591"/>
    <n v="220"/>
    <n v="7"/>
    <n v="1"/>
    <n v="66591"/>
    <s v="Central Office"/>
    <s v="School Psychologist"/>
    <m/>
    <n v="70472"/>
    <n v="84344"/>
    <n v="98216"/>
  </r>
  <r>
    <s v="Saeed"/>
    <s v="Ahmed"/>
    <n v="14584"/>
    <d v="2019-08-12T00:00:00"/>
    <n v="2.3861111111111111"/>
    <n v="43689"/>
    <n v="2.3861111111111111"/>
    <m/>
    <x v="0"/>
    <m/>
    <n v="38.344285714285718"/>
    <n v="26841"/>
    <n v="200"/>
    <n v="3.5"/>
    <n v="0.5"/>
    <n v="53682"/>
    <s v="Harrisonburg High"/>
    <s v="Arabic Teacher"/>
    <m/>
    <n v="48500"/>
    <n v="56816"/>
    <n v="65132"/>
  </r>
  <r>
    <s v="Salazar Cortes"/>
    <s v="Cesar"/>
    <n v="15061"/>
    <d v="2021-08-04T00:00:00"/>
    <n v="0.40833333333333333"/>
    <n v="44412"/>
    <n v="0.40833333333333333"/>
    <m/>
    <x v="0"/>
    <m/>
    <n v="37.575714285714284"/>
    <n v="52606"/>
    <n v="200"/>
    <n v="7"/>
    <n v="1"/>
    <n v="52606"/>
    <s v="Keister Elementary"/>
    <s v="Fourth Grade DL Teacher"/>
    <m/>
    <n v="48500"/>
    <n v="56816"/>
    <n v="65132"/>
  </r>
  <r>
    <s v="Salinas Morales"/>
    <s v="Sharon"/>
    <n v="14596"/>
    <d v="2019-08-12T00:00:00"/>
    <n v="2.3861111111111111"/>
    <n v="43689"/>
    <n v="2.3861111111111111"/>
    <m/>
    <x v="0"/>
    <m/>
    <n v="35.007857142857141"/>
    <n v="49011"/>
    <n v="200"/>
    <n v="7"/>
    <n v="1"/>
    <n v="49011"/>
    <s v="Waterman Elementary"/>
    <s v="Home School Liaison"/>
    <m/>
    <n v="48500"/>
    <n v="56816"/>
    <n v="65132"/>
  </r>
  <r>
    <s v="Samples"/>
    <s v="Stephanie"/>
    <n v="10628"/>
    <d v="2006-10-02T00:00:00"/>
    <n v="15.247222222222222"/>
    <n v="38992"/>
    <n v="15.247222222222222"/>
    <m/>
    <x v="0"/>
    <m/>
    <n v="38.344285714285718"/>
    <n v="53682"/>
    <n v="200"/>
    <n v="7"/>
    <n v="1"/>
    <n v="53682"/>
    <s v="Skyline Middle School"/>
    <s v="SPED Teacher"/>
    <m/>
    <n v="48500"/>
    <n v="56816"/>
    <n v="65132"/>
  </r>
  <r>
    <s v="Sanders"/>
    <s v="Caroline"/>
    <n v="10483"/>
    <d v="2005-08-11T00:00:00"/>
    <n v="16.388888888888889"/>
    <n v="38575"/>
    <n v="16.388888888888889"/>
    <m/>
    <x v="0"/>
    <m/>
    <n v="39.901428571428575"/>
    <n v="55862"/>
    <n v="200"/>
    <n v="7"/>
    <n v="1"/>
    <n v="55862"/>
    <s v="Waterman Elementary"/>
    <s v="Health and PE Teacher"/>
    <m/>
    <n v="48500"/>
    <n v="56816"/>
    <n v="65132"/>
  </r>
  <r>
    <s v="Sanders"/>
    <s v="Lauren"/>
    <n v="12770"/>
    <d v="2014-08-11T00:00:00"/>
    <n v="7.3888888888888893"/>
    <n v="41862"/>
    <n v="7.3888888888888893"/>
    <m/>
    <x v="0"/>
    <m/>
    <n v="36.780714285714282"/>
    <n v="51493"/>
    <n v="200"/>
    <n v="7"/>
    <n v="1"/>
    <n v="51493"/>
    <s v="Keister Elementary"/>
    <s v="Early Childhood SPED Teacher"/>
    <m/>
    <n v="48500"/>
    <n v="56816"/>
    <n v="65132"/>
  </r>
  <r>
    <s v="Sasia"/>
    <s v="Romina"/>
    <n v="14195"/>
    <d v="2018-04-03T00:00:00"/>
    <n v="3.7444444444444445"/>
    <n v="43193"/>
    <n v="3.7444444444444445"/>
    <m/>
    <x v="0"/>
    <m/>
    <n v="35.25"/>
    <n v="49350"/>
    <n v="200"/>
    <n v="7"/>
    <n v="1"/>
    <n v="49350"/>
    <s v="Spotswood Elementary"/>
    <s v="First Grade Teacher"/>
    <m/>
    <n v="48500"/>
    <n v="56816"/>
    <n v="65132"/>
  </r>
  <r>
    <s v="Satterfield"/>
    <s v="Grace"/>
    <n v="11466"/>
    <d v="2009-02-04T00:00:00"/>
    <n v="12.908333333333333"/>
    <n v="39848"/>
    <n v="12.908333333333333"/>
    <m/>
    <x v="0"/>
    <m/>
    <n v="37.951428571428572"/>
    <n v="53132"/>
    <n v="200"/>
    <n v="7"/>
    <n v="1"/>
    <n v="53132"/>
    <s v="Smithland Elementary"/>
    <s v="Second Grade Teacher"/>
    <m/>
    <n v="48500"/>
    <n v="56816"/>
    <n v="65132"/>
  </r>
  <r>
    <s v="Sauder"/>
    <s v="Rachel"/>
    <n v="15042"/>
    <d v="2011-08-04T00:00:00"/>
    <n v="10.408333333333333"/>
    <n v="40759"/>
    <n v="10.408333333333333"/>
    <m/>
    <x v="0"/>
    <m/>
    <n v="34.642857142857146"/>
    <n v="48500"/>
    <n v="200"/>
    <n v="7"/>
    <n v="1"/>
    <n v="48500"/>
    <s v="Skyline Middle School"/>
    <s v="Math Teacher"/>
    <m/>
    <n v="48500"/>
    <n v="56816"/>
    <n v="65132"/>
  </r>
  <r>
    <s v="Saunders"/>
    <s v="Madelyn"/>
    <n v="13247"/>
    <d v="2015-08-17T00:00:00"/>
    <n v="6.3722222222222218"/>
    <n v="42233"/>
    <n v="6.3722222222222218"/>
    <m/>
    <x v="0"/>
    <m/>
    <n v="36.394285714285715"/>
    <n v="50952"/>
    <n v="200"/>
    <n v="7"/>
    <n v="1"/>
    <n v="50952"/>
    <s v="Keister Elementary"/>
    <s v="Fourth Grade Teacher"/>
    <m/>
    <n v="48500"/>
    <n v="56816"/>
    <n v="65132"/>
  </r>
  <r>
    <s v="Saville"/>
    <s v="Siaura"/>
    <n v="14343"/>
    <d v="2018-08-13T00:00:00"/>
    <n v="3.3833333333333333"/>
    <n v="43325"/>
    <n v="3.3833333333333333"/>
    <m/>
    <x v="6"/>
    <m/>
    <n v="35.249833887043188"/>
    <n v="53051"/>
    <n v="215"/>
    <n v="7"/>
    <n v="1"/>
    <n v="53051"/>
    <s v="Harrisonburg High"/>
    <s v="Athletic Trainer"/>
    <m/>
    <n v="52137.5"/>
    <n v="61077.2"/>
    <n v="70016.899999999994"/>
  </r>
  <r>
    <s v="Saylor"/>
    <s v="Jonathan"/>
    <n v="14605"/>
    <d v="2019-08-12T00:00:00"/>
    <n v="2.3861111111111111"/>
    <n v="43689"/>
    <n v="2.3861111111111111"/>
    <m/>
    <x v="0"/>
    <m/>
    <n v="35.952857142857141"/>
    <n v="50334"/>
    <n v="200"/>
    <n v="7"/>
    <n v="1"/>
    <n v="50334"/>
    <s v="Harrisonburg High"/>
    <s v="Science Teacher - Summit Academy"/>
    <m/>
    <n v="48500"/>
    <n v="56816"/>
    <n v="65132"/>
  </r>
  <r>
    <s v="Schenker-Fulcher"/>
    <s v="Meghan"/>
    <n v="14280"/>
    <d v="2018-08-13T00:00:00"/>
    <n v="3.3833333333333333"/>
    <n v="43325"/>
    <n v="3.3833333333333333"/>
    <m/>
    <x v="0"/>
    <m/>
    <n v="39.505000000000003"/>
    <n v="55307"/>
    <n v="200"/>
    <n v="7"/>
    <n v="1"/>
    <n v="55307"/>
    <s v="Stone Spring Elementary"/>
    <s v="Instructional Coach"/>
    <m/>
    <n v="48500"/>
    <n v="56816"/>
    <n v="65132"/>
  </r>
  <r>
    <s v="Schmidt"/>
    <s v="Kathryn"/>
    <n v="14957"/>
    <d v="2021-01-04T00:00:00"/>
    <n v="0.9916666666666667"/>
    <n v="44200"/>
    <n v="0.9916666666666667"/>
    <m/>
    <x v="0"/>
    <m/>
    <n v="36.119999999999997"/>
    <n v="50568"/>
    <n v="200"/>
    <n v="7"/>
    <n v="1"/>
    <n v="50568"/>
    <s v="Thomas Harrison Middle"/>
    <s v="Math Teacher"/>
    <m/>
    <n v="48500"/>
    <n v="56816"/>
    <n v="65132"/>
  </r>
  <r>
    <s v="Schmucker"/>
    <s v="Kimberly"/>
    <n v="11738"/>
    <d v="2010-04-21T00:00:00"/>
    <n v="11.694444444444445"/>
    <n v="40289"/>
    <n v="11.694444444444445"/>
    <m/>
    <x v="0"/>
    <m/>
    <n v="36.119999999999997"/>
    <n v="50568"/>
    <n v="200"/>
    <n v="7"/>
    <n v="1"/>
    <n v="50568"/>
    <s v="Bluestone Elementary"/>
    <s v="First Grade Teacher"/>
    <m/>
    <n v="48500"/>
    <n v="56816"/>
    <n v="65132"/>
  </r>
  <r>
    <s v="Schnider"/>
    <s v="Gail"/>
    <n v="10590"/>
    <d v="2001-08-15T00:00:00"/>
    <n v="20.377777777777776"/>
    <n v="37118"/>
    <n v="20.377777777777776"/>
    <m/>
    <x v="0"/>
    <m/>
    <n v="45.055"/>
    <n v="63077"/>
    <n v="200"/>
    <n v="7"/>
    <n v="1"/>
    <n v="63077"/>
    <s v="Central Office"/>
    <s v="Speech Pathologist"/>
    <m/>
    <n v="48500"/>
    <n v="56816"/>
    <n v="65132"/>
  </r>
  <r>
    <s v="Schwenke"/>
    <s v="Katrina"/>
    <n v="14409"/>
    <d v="2019-08-12T00:00:00"/>
    <n v="2.3861111111111111"/>
    <n v="43689"/>
    <n v="2.3861111111111111"/>
    <m/>
    <x v="0"/>
    <m/>
    <n v="35.952857142857141"/>
    <n v="50334"/>
    <n v="200"/>
    <n v="7"/>
    <n v="1"/>
    <n v="50334"/>
    <s v="Harrisonburg High"/>
    <s v="Math Teacher"/>
    <m/>
    <n v="48500"/>
    <n v="56816"/>
    <n v="65132"/>
  </r>
  <r>
    <s v="Scott"/>
    <s v="Ellen"/>
    <n v="14590"/>
    <d v="2019-08-12T00:00:00"/>
    <n v="2.3861111111111111"/>
    <n v="43689"/>
    <n v="2.3861111111111111"/>
    <m/>
    <x v="0"/>
    <m/>
    <n v="36.119999999999997"/>
    <n v="50568"/>
    <n v="200"/>
    <n v="7"/>
    <n v="1"/>
    <n v="50568"/>
    <s v="Harrisonburg High"/>
    <s v="English Teacher - Summit Academy"/>
    <m/>
    <n v="48500"/>
    <n v="56816"/>
    <n v="65132"/>
  </r>
  <r>
    <s v="Scupp"/>
    <s v="Katie"/>
    <n v="14183"/>
    <d v="2019-04-19T00:00:00"/>
    <n v="2.7"/>
    <n v="43574"/>
    <n v="2.7"/>
    <m/>
    <x v="0"/>
    <m/>
    <n v="35.007857142857141"/>
    <n v="49011"/>
    <n v="200"/>
    <n v="7"/>
    <n v="1"/>
    <n v="49011"/>
    <s v="Bluestone Elementary"/>
    <s v="Fourth Grade Teacher"/>
    <m/>
    <n v="48500"/>
    <n v="56816"/>
    <n v="65132"/>
  </r>
  <r>
    <s v="Seese"/>
    <s v="Brenda"/>
    <n v="13572"/>
    <d v="2016-08-15T00:00:00"/>
    <n v="5.3777777777777782"/>
    <n v="42597"/>
    <n v="5.3777777777777782"/>
    <m/>
    <x v="0"/>
    <m/>
    <n v="52.782857142857146"/>
    <n v="73896"/>
    <n v="200"/>
    <n v="7"/>
    <n v="1"/>
    <n v="73896"/>
    <s v="Spotswood Elementary"/>
    <s v="Reading Specialist"/>
    <m/>
    <n v="48500"/>
    <n v="56816"/>
    <n v="65132"/>
  </r>
  <r>
    <s v="Sellers"/>
    <s v="Barbara"/>
    <n v="10309"/>
    <d v="2001-06-25T00:00:00"/>
    <n v="20.516666666666666"/>
    <n v="37067"/>
    <n v="20.516666666666666"/>
    <m/>
    <x v="0"/>
    <m/>
    <n v="40.692857142857143"/>
    <n v="56970"/>
    <n v="200"/>
    <n v="7"/>
    <n v="1"/>
    <n v="56970"/>
    <s v="Keister Elementary"/>
    <s v="First Grade Teacher"/>
    <m/>
    <n v="48500"/>
    <n v="56816"/>
    <n v="65132"/>
  </r>
  <r>
    <s v="Shamisalla"/>
    <s v="Muna"/>
    <n v="12914"/>
    <d v="2014-09-08T00:00:00"/>
    <n v="7.3138888888888891"/>
    <n v="41890"/>
    <n v="7.3138888888888891"/>
    <m/>
    <x v="0"/>
    <m/>
    <n v="35.597857142857144"/>
    <n v="49837"/>
    <n v="200"/>
    <n v="7"/>
    <n v="1"/>
    <n v="49837"/>
    <s v="Central Office"/>
    <s v="Home School Liaison"/>
    <m/>
    <n v="48500"/>
    <n v="56816"/>
    <n v="65132"/>
  </r>
  <r>
    <s v="Shank"/>
    <s v="Adam"/>
    <n v="10485"/>
    <d v="2007-08-16T00:00:00"/>
    <n v="14.375"/>
    <n v="39310"/>
    <n v="14.375"/>
    <m/>
    <x v="0"/>
    <m/>
    <n v="37.575714285714284"/>
    <n v="52606"/>
    <n v="200"/>
    <n v="7"/>
    <n v="1"/>
    <n v="52606"/>
    <s v="Smithland Elementary"/>
    <s v="Home School Liaison"/>
    <m/>
    <n v="48500"/>
    <n v="56816"/>
    <n v="65132"/>
  </r>
  <r>
    <s v="Shank"/>
    <s v="Marisa"/>
    <n v="12592"/>
    <d v="2013-08-09T00:00:00"/>
    <n v="8.3944444444444439"/>
    <n v="41495"/>
    <n v="8.3944444444444439"/>
    <m/>
    <x v="0"/>
    <m/>
    <n v="35.597959183673467"/>
    <n v="52329"/>
    <n v="210"/>
    <n v="7"/>
    <n v="1"/>
    <n v="52329"/>
    <s v="Bluestone Elementary"/>
    <s v="Media Specialist (Librarian)"/>
    <m/>
    <n v="48500"/>
    <n v="56816"/>
    <n v="65132"/>
  </r>
  <r>
    <s v="Shantz"/>
    <s v="Seth"/>
    <n v="13203"/>
    <d v="2015-08-17T00:00:00"/>
    <n v="6.3722222222222218"/>
    <n v="42233"/>
    <n v="6.3722222222222218"/>
    <m/>
    <x v="0"/>
    <m/>
    <n v="37.575714285714284"/>
    <n v="52606"/>
    <n v="200"/>
    <n v="7"/>
    <n v="1"/>
    <n v="52606"/>
    <s v="Harrisonburg High"/>
    <s v="Technology Education Teacher"/>
    <m/>
    <n v="48500"/>
    <n v="56816"/>
    <n v="65132"/>
  </r>
  <r>
    <s v="Sheahan"/>
    <s v="Emily"/>
    <n v="12751"/>
    <d v="2014-08-11T00:00:00"/>
    <n v="7.3888888888888893"/>
    <n v="41862"/>
    <n v="7.3888888888888893"/>
    <m/>
    <x v="0"/>
    <m/>
    <n v="37.172142857142852"/>
    <n v="52041"/>
    <n v="200"/>
    <n v="7"/>
    <n v="1"/>
    <n v="52041"/>
    <s v="Skyline Middle"/>
    <s v="Science Teacher"/>
    <m/>
    <n v="48500"/>
    <n v="56816"/>
    <n v="65132"/>
  </r>
  <r>
    <s v="Shelly"/>
    <s v="Abigail"/>
    <n v="14753"/>
    <d v="2020-01-06T00:00:00"/>
    <n v="1.9861111111111112"/>
    <n v="43836"/>
    <n v="1.9861111111111112"/>
    <m/>
    <x v="0"/>
    <m/>
    <n v="34.865000000000002"/>
    <n v="48811"/>
    <n v="200"/>
    <n v="7"/>
    <n v="1"/>
    <n v="48811"/>
    <s v="Harrisonburg High"/>
    <s v="ESL Specialist"/>
    <m/>
    <n v="48500"/>
    <n v="56816"/>
    <n v="65132"/>
  </r>
  <r>
    <s v="Shenk"/>
    <s v="David"/>
    <n v="13648"/>
    <d v="2016-08-15T00:00:00"/>
    <n v="5.3777777777777782"/>
    <n v="42597"/>
    <n v="5.3777777777777782"/>
    <m/>
    <x v="0"/>
    <m/>
    <n v="37.951428571428572"/>
    <n v="53132"/>
    <n v="200"/>
    <n v="7"/>
    <n v="1"/>
    <n v="53132"/>
    <s v="Harrisonburg High"/>
    <s v="Home School Liaison"/>
    <m/>
    <n v="48500"/>
    <n v="56816"/>
    <n v="65132"/>
  </r>
  <r>
    <s v="Shenk"/>
    <s v="Kelly"/>
    <n v="10310"/>
    <d v="2002-08-19T00:00:00"/>
    <n v="19.366666666666667"/>
    <n v="37487"/>
    <n v="19.366666666666667"/>
    <m/>
    <x v="0"/>
    <m/>
    <n v="48.181428571428569"/>
    <n v="67454"/>
    <n v="200"/>
    <n v="7"/>
    <n v="1"/>
    <n v="67454"/>
    <s v="Waterman Elementary"/>
    <s v="Speech Pathologist"/>
    <m/>
    <n v="48500"/>
    <n v="56816"/>
    <n v="65132"/>
  </r>
  <r>
    <s v="Shifflett-Martin"/>
    <s v="Delshana"/>
    <n v="14338"/>
    <d v="2018-08-03T00:00:00"/>
    <n v="3.411111111111111"/>
    <n v="43315"/>
    <n v="3.411111111111111"/>
    <m/>
    <x v="0"/>
    <m/>
    <n v="35.007857142857141"/>
    <n v="49011"/>
    <n v="200"/>
    <n v="7"/>
    <n v="1"/>
    <n v="49011"/>
    <s v="Thomas Harrison Middle"/>
    <s v="STEM Teacher"/>
    <m/>
    <n v="48500"/>
    <n v="56816"/>
    <n v="65132"/>
  </r>
  <r>
    <s v="Shiflet"/>
    <s v="Brittni"/>
    <n v="12308"/>
    <d v="2012-08-14T00:00:00"/>
    <n v="9.3805555555555564"/>
    <n v="41135"/>
    <n v="9.3805555555555564"/>
    <m/>
    <x v="0"/>
    <m/>
    <n v="38.344285714285718"/>
    <n v="53682"/>
    <n v="200"/>
    <n v="7"/>
    <n v="1"/>
    <n v="53682"/>
    <s v="Harrisonburg High"/>
    <s v="ESL Specialist"/>
    <m/>
    <n v="48500"/>
    <n v="56816"/>
    <n v="65132"/>
  </r>
  <r>
    <s v="Showalter"/>
    <s v="Tina"/>
    <n v="11126"/>
    <d v="1998-03-06T00:00:00"/>
    <n v="23.819444444444443"/>
    <n v="35860"/>
    <n v="23.819444444444443"/>
    <m/>
    <x v="0"/>
    <m/>
    <n v="41.879285714285707"/>
    <n v="58631"/>
    <n v="200"/>
    <n v="7"/>
    <n v="1"/>
    <n v="58631"/>
    <s v="Skyline Middle School"/>
    <s v="8th Grade STEM Teacher"/>
    <m/>
    <n v="48500"/>
    <n v="56816"/>
    <n v="65132"/>
  </r>
  <r>
    <s v="Shradley-Horst"/>
    <s v="Kelley"/>
    <n v="10126"/>
    <d v="2006-08-09T00:00:00"/>
    <n v="15.394444444444444"/>
    <n v="38938"/>
    <n v="15.394444444444444"/>
    <m/>
    <x v="0"/>
    <m/>
    <n v="38.431428571428569"/>
    <n v="53804"/>
    <n v="200"/>
    <n v="7"/>
    <n v="1"/>
    <n v="53804"/>
    <s v="Harrisonburg High"/>
    <s v="Art Teacher"/>
    <m/>
    <n v="48500"/>
    <n v="56816"/>
    <n v="65132"/>
  </r>
  <r>
    <s v="Shull"/>
    <s v="Katie"/>
    <n v="12293"/>
    <d v="2012-08-14T00:00:00"/>
    <n v="9.3805555555555564"/>
    <n v="41135"/>
    <n v="9.3805555555555564"/>
    <m/>
    <x v="0"/>
    <m/>
    <n v="38.344285714285718"/>
    <n v="53682"/>
    <n v="200"/>
    <n v="7"/>
    <n v="1"/>
    <n v="53682"/>
    <s v="Skyline Middle"/>
    <s v="Math Teacher"/>
    <m/>
    <n v="48500"/>
    <n v="56816"/>
    <n v="65132"/>
  </r>
  <r>
    <s v="Siglin"/>
    <s v="Jared"/>
    <n v="14548"/>
    <d v="2019-08-05T00:00:00"/>
    <n v="2.4055555555555554"/>
    <n v="43682"/>
    <n v="2.4055555555555554"/>
    <m/>
    <x v="6"/>
    <m/>
    <n v="38.344186046511631"/>
    <n v="57708"/>
    <n v="215"/>
    <n v="7"/>
    <n v="1"/>
    <n v="57708"/>
    <s v="Harrisonburg High"/>
    <s v="Athletic Trainer"/>
    <m/>
    <n v="52137.5"/>
    <n v="61077.2"/>
    <n v="70016.899999999994"/>
  </r>
  <r>
    <s v="Simensen"/>
    <s v="Betty"/>
    <n v="11127"/>
    <d v="2003-08-13T00:00:00"/>
    <n v="18.383333333333333"/>
    <n v="37846"/>
    <n v="18.383333333333333"/>
    <m/>
    <x v="0"/>
    <m/>
    <n v="54.365714285714283"/>
    <n v="76112"/>
    <n v="200"/>
    <n v="7"/>
    <n v="1"/>
    <n v="76112"/>
    <s v="Smithland Elementary"/>
    <s v="Reading Specialist"/>
    <m/>
    <n v="48500"/>
    <n v="56816"/>
    <n v="65132"/>
  </r>
  <r>
    <s v="Simmers"/>
    <s v="Mandi"/>
    <n v="13680"/>
    <d v="2016-08-23T00:00:00"/>
    <n v="5.3555555555555552"/>
    <n v="42605"/>
    <n v="5.3555555555555552"/>
    <m/>
    <x v="4"/>
    <m/>
    <n v="41.581168831168831"/>
    <n v="64035"/>
    <n v="220"/>
    <n v="7"/>
    <n v="1"/>
    <n v="64035"/>
    <s v="Central Office"/>
    <s v="School Psychologist"/>
    <m/>
    <n v="70472"/>
    <n v="84344"/>
    <n v="98216"/>
  </r>
  <r>
    <s v="Sinwell"/>
    <s v="Daniel"/>
    <n v="14615"/>
    <d v="2019-08-12T00:00:00"/>
    <n v="2.3861111111111111"/>
    <n v="43689"/>
    <n v="2.3861111111111111"/>
    <m/>
    <x v="0"/>
    <m/>
    <n v="35.007857142857141"/>
    <n v="49011"/>
    <n v="200"/>
    <n v="7"/>
    <n v="1"/>
    <n v="49011"/>
    <s v="Bluestone Elementary"/>
    <s v="PE Teacher"/>
    <m/>
    <n v="48500"/>
    <n v="56816"/>
    <n v="65132"/>
  </r>
  <r>
    <s v="Skaflen"/>
    <s v="Andrea"/>
    <n v="13435"/>
    <d v="2016-01-25T00:00:00"/>
    <n v="5.9333333333333336"/>
    <n v="42394"/>
    <n v="5.9333333333333336"/>
    <m/>
    <x v="0"/>
    <m/>
    <n v="39.505000000000003"/>
    <n v="55307"/>
    <n v="200"/>
    <n v="7"/>
    <n v="1"/>
    <n v="55307"/>
    <s v="Central Office"/>
    <s v="Mental Health Counselor"/>
    <m/>
    <n v="48500"/>
    <n v="56816"/>
    <n v="65132"/>
  </r>
  <r>
    <s v="Skelton"/>
    <s v="Andrea"/>
    <n v="10060"/>
    <d v="2005-11-30T00:00:00"/>
    <n v="16.086111111111112"/>
    <n v="38686"/>
    <n v="16.086111111111112"/>
    <m/>
    <x v="0"/>
    <m/>
    <n v="37.951428571428572"/>
    <n v="53132"/>
    <n v="200"/>
    <n v="7"/>
    <n v="1"/>
    <n v="53132"/>
    <s v="Smithland Elementary"/>
    <s v="First Grade Teacher"/>
    <m/>
    <n v="48500"/>
    <n v="56816"/>
    <n v="65132"/>
  </r>
  <r>
    <s v="Skidmore"/>
    <s v="Lauren"/>
    <n v="14748"/>
    <d v="2019-12-11T00:00:00"/>
    <n v="2.0555555555555554"/>
    <n v="43810"/>
    <n v="2.0555555555555554"/>
    <m/>
    <x v="0"/>
    <m/>
    <n v="34.865000000000002"/>
    <n v="48811"/>
    <n v="200"/>
    <n v="7"/>
    <n v="1"/>
    <n v="48811"/>
    <s v="Spotswood Elementary"/>
    <s v="Kindergarten Teacher"/>
    <m/>
    <n v="48500"/>
    <n v="56816"/>
    <n v="65132"/>
  </r>
  <r>
    <s v="Slobodin"/>
    <s v="Zoe"/>
    <n v="13445"/>
    <d v="2016-02-03T00:00:00"/>
    <n v="5.9111111111111114"/>
    <n v="42403"/>
    <n v="5.9111111111111114"/>
    <m/>
    <x v="0"/>
    <m/>
    <n v="35.597857142857144"/>
    <n v="49837"/>
    <n v="200"/>
    <n v="7"/>
    <n v="1"/>
    <n v="49837"/>
    <s v="Spotswood Elementary"/>
    <s v="Second Grade Teacher"/>
    <m/>
    <n v="48500"/>
    <n v="56816"/>
    <n v="65132"/>
  </r>
  <r>
    <s v="Smiley"/>
    <s v="Krista"/>
    <n v="10578"/>
    <d v="2007-08-16T00:00:00"/>
    <n v="14.375"/>
    <n v="39310"/>
    <n v="14.375"/>
    <m/>
    <x v="0"/>
    <m/>
    <n v="38.431428571428569"/>
    <n v="53804"/>
    <n v="200"/>
    <n v="7"/>
    <n v="1"/>
    <n v="53804"/>
    <s v="Skyline Middle"/>
    <s v="Instructional Coach"/>
    <m/>
    <n v="48500"/>
    <n v="56816"/>
    <n v="65132"/>
  </r>
  <r>
    <s v="Smith"/>
    <s v="Amber"/>
    <n v="14945"/>
    <d v="2020-11-02T00:00:00"/>
    <n v="1.163888888888889"/>
    <n v="44137"/>
    <n v="1.163888888888889"/>
    <m/>
    <x v="0"/>
    <m/>
    <n v="46.522857142857148"/>
    <n v="65132"/>
    <n v="200"/>
    <n v="7"/>
    <n v="1"/>
    <n v="65132"/>
    <s v="Central Office"/>
    <s v="Blind/Visually Impaired Teacher"/>
    <m/>
    <n v="48500"/>
    <n v="56816"/>
    <n v="65132"/>
  </r>
  <r>
    <s v="Smith"/>
    <s v="Hannah"/>
    <n v="12796"/>
    <d v="2014-08-11T00:00:00"/>
    <n v="7.3888888888888893"/>
    <n v="41862"/>
    <n v="7.3888888888888893"/>
    <m/>
    <x v="0"/>
    <m/>
    <n v="36.780714285714282"/>
    <n v="51493"/>
    <n v="200"/>
    <n v="7"/>
    <n v="1"/>
    <n v="51493"/>
    <s v="Spotswood Elementary"/>
    <s v="Kindergarten Teacher"/>
    <m/>
    <n v="48500"/>
    <n v="56816"/>
    <n v="65132"/>
  </r>
  <r>
    <s v="Smith"/>
    <s v="Lauren"/>
    <n v="11636"/>
    <d v="2009-10-07T00:00:00"/>
    <n v="12.233333333333333"/>
    <n v="40093"/>
    <n v="12.233333333333333"/>
    <m/>
    <x v="0"/>
    <m/>
    <n v="37.562142857142859"/>
    <n v="52587"/>
    <n v="200"/>
    <n v="7"/>
    <n v="1"/>
    <n v="52587"/>
    <s v="Waterman Elementary"/>
    <s v="First Grade Teacher"/>
    <m/>
    <n v="48500"/>
    <n v="56816"/>
    <n v="65132"/>
  </r>
  <r>
    <s v="Smith"/>
    <s v="Lauren"/>
    <n v="11764"/>
    <d v="2010-08-11T00:00:00"/>
    <n v="11.388888888888889"/>
    <n v="40401"/>
    <n v="11.388888888888889"/>
    <m/>
    <x v="0"/>
    <m/>
    <n v="37.951428571428572"/>
    <n v="53132"/>
    <n v="200"/>
    <n v="7"/>
    <n v="1"/>
    <n v="53132"/>
    <s v="Elon Rhodes"/>
    <s v="VPI Teacher"/>
    <m/>
    <n v="48500"/>
    <n v="56816"/>
    <n v="65132"/>
  </r>
  <r>
    <s v="Smith"/>
    <s v="Suzanne"/>
    <n v="10173"/>
    <d v="2004-08-11T00:00:00"/>
    <n v="17.388888888888889"/>
    <n v="38210"/>
    <n v="17.388888888888889"/>
    <m/>
    <x v="0"/>
    <m/>
    <n v="39.901428571428575"/>
    <n v="55862"/>
    <n v="200"/>
    <n v="7"/>
    <n v="1"/>
    <n v="55862"/>
    <s v="Harrisonburg High"/>
    <s v="Biology/Chemistry Teacher"/>
    <m/>
    <n v="48500"/>
    <n v="56816"/>
    <n v="65132"/>
  </r>
  <r>
    <s v="Smucker"/>
    <s v="Sheri"/>
    <n v="13917"/>
    <d v="2017-08-21T00:00:00"/>
    <n v="4.3611111111111107"/>
    <n v="42968"/>
    <n v="4.3611111111111107"/>
    <m/>
    <x v="0"/>
    <m/>
    <n v="45.05510204081633"/>
    <n v="66231"/>
    <n v="210"/>
    <n v="7"/>
    <n v="1"/>
    <n v="66231"/>
    <s v="Thomas Harrison Middle"/>
    <s v="Media Specialist (Librarian)"/>
    <m/>
    <n v="48500"/>
    <n v="56816"/>
    <n v="65132"/>
  </r>
  <r>
    <s v="Sneller"/>
    <s v="Erich"/>
    <n v="13169"/>
    <d v="2015-08-17T00:00:00"/>
    <n v="6.3722222222222218"/>
    <n v="42233"/>
    <n v="6.3722222222222218"/>
    <m/>
    <x v="0"/>
    <m/>
    <n v="36.394285714285715"/>
    <n v="50952"/>
    <n v="200"/>
    <n v="7"/>
    <n v="1"/>
    <n v="50952"/>
    <s v="Harrisonburg High"/>
    <s v="Chemistry Teacher"/>
    <m/>
    <n v="48500"/>
    <n v="56816"/>
    <n v="65132"/>
  </r>
  <r>
    <s v="Snow"/>
    <s v="John"/>
    <n v="10176"/>
    <d v="2005-08-11T00:00:00"/>
    <n v="16.388888888888889"/>
    <n v="38575"/>
    <n v="16.388888888888889"/>
    <m/>
    <x v="1"/>
    <m/>
    <n v="54.789115646258502"/>
    <n v="80540"/>
    <n v="210"/>
    <n v="7"/>
    <n v="1"/>
    <n v="80540"/>
    <s v="Central Office"/>
    <s v="Visual and Performing Arts Coordinator"/>
    <m/>
    <n v="72151"/>
    <n v="85836"/>
    <n v="99521"/>
  </r>
  <r>
    <s v="Soenksen"/>
    <s v="Cathryn"/>
    <n v="10177"/>
    <d v="2001-08-15T00:00:00"/>
    <n v="20.377777777777776"/>
    <d v="2001-08-15T00:00:00"/>
    <n v="20.377777777777776"/>
    <m/>
    <x v="1"/>
    <m/>
    <n v="52.277333333333331"/>
    <n v="98020"/>
    <n v="250"/>
    <n v="7.5"/>
    <n v="1"/>
    <n v="98020"/>
    <s v="Central Office"/>
    <s v="Secondary Language Arts Coordinator"/>
    <m/>
    <n v="72151"/>
    <n v="85836"/>
    <n v="99521"/>
  </r>
  <r>
    <s v="Sokolowski"/>
    <s v="Courtney"/>
    <n v="13838"/>
    <d v="2017-08-21T00:00:00"/>
    <n v="4.3611111111111107"/>
    <d v="2017-08-21T00:00:00"/>
    <n v="4.3611111111111107"/>
    <m/>
    <x v="0"/>
    <m/>
    <n v="38.344285714285718"/>
    <n v="53682"/>
    <n v="200"/>
    <n v="7"/>
    <n v="1"/>
    <n v="53682"/>
    <s v="Bluestone Elementary"/>
    <s v="Advanced Learning/STEM Specialist"/>
    <m/>
    <n v="48500"/>
    <n v="56816"/>
    <n v="65132"/>
  </r>
  <r>
    <s v="Sorber"/>
    <s v="Christopher"/>
    <n v="11246"/>
    <d v="2008-08-13T00:00:00"/>
    <n v="13.383333333333333"/>
    <d v="2008-08-13T00:00:00"/>
    <n v="13.383333333333333"/>
    <m/>
    <x v="0"/>
    <m/>
    <n v="41.879285714285707"/>
    <n v="58631"/>
    <n v="200"/>
    <n v="7"/>
    <n v="1"/>
    <n v="58631"/>
    <s v="Harrisonburg High"/>
    <s v="Special Education Teacher"/>
    <m/>
    <n v="48500"/>
    <n v="56816"/>
    <n v="65132"/>
  </r>
  <r>
    <s v="Spears"/>
    <s v="Melissa"/>
    <n v="15043"/>
    <d v="2011-08-04T00:00:00"/>
    <n v="10.408333333333333"/>
    <d v="2011-08-04T00:00:00"/>
    <n v="10.408333333333333"/>
    <m/>
    <x v="0"/>
    <m/>
    <n v="36.394285714285715"/>
    <n v="50952"/>
    <n v="200"/>
    <n v="7"/>
    <n v="1"/>
    <n v="50952"/>
    <s v="Spotswood Elementary"/>
    <s v="Third Grade Teacher"/>
    <m/>
    <n v="48500"/>
    <n v="56816"/>
    <n v="65132"/>
  </r>
  <r>
    <s v="Spencer"/>
    <s v="Rachel"/>
    <n v="15036"/>
    <d v="2021-08-01T00:00:00"/>
    <n v="0.41666666666666669"/>
    <d v="2021-08-01T00:00:00"/>
    <n v="0.41666666666666669"/>
    <m/>
    <x v="3"/>
    <m/>
    <n v="42.093506493506489"/>
    <n v="64824"/>
    <n v="220"/>
    <n v="7"/>
    <n v="1"/>
    <n v="64824"/>
    <s v="Central Office"/>
    <s v="School Social Worker"/>
    <m/>
    <n v="68122"/>
    <n v="79259"/>
    <n v="90396"/>
  </r>
  <r>
    <s v="Spensieri"/>
    <s v="Jennifer"/>
    <n v="13281"/>
    <d v="2015-09-02T00:00:00"/>
    <n v="6.3305555555555557"/>
    <d v="2015-09-02T00:00:00"/>
    <n v="6.3305555555555557"/>
    <m/>
    <x v="0"/>
    <m/>
    <n v="37.575714285714284"/>
    <n v="52606"/>
    <n v="200"/>
    <n v="7"/>
    <n v="1"/>
    <n v="52606"/>
    <s v="Harrisonburg High"/>
    <s v="Personal Finance/Economics Teacher"/>
    <m/>
    <n v="48500"/>
    <n v="56816"/>
    <n v="65132"/>
  </r>
  <r>
    <s v="Spurlock"/>
    <s v="Kaila"/>
    <n v="12340"/>
    <d v="2012-08-14T00:00:00"/>
    <n v="9.3805555555555564"/>
    <d v="2012-08-14T00:00:00"/>
    <n v="9.3805555555555564"/>
    <m/>
    <x v="0"/>
    <m/>
    <n v="36.394285714285715"/>
    <n v="50952"/>
    <n v="200"/>
    <n v="7"/>
    <n v="1"/>
    <n v="50952"/>
    <s v="Keister Elementary"/>
    <s v="School Counselor"/>
    <m/>
    <n v="48500"/>
    <n v="56816"/>
    <n v="65132"/>
  </r>
  <r>
    <s v="Stahl"/>
    <s v="Ramona"/>
    <n v="10239"/>
    <d v="2007-06-25T00:00:00"/>
    <n v="14.516666666666667"/>
    <d v="2007-06-25T00:00:00"/>
    <n v="14.516666666666667"/>
    <m/>
    <x v="0"/>
    <m/>
    <n v="38.274133333333332"/>
    <n v="71764"/>
    <n v="250"/>
    <n v="7.5"/>
    <n v="1"/>
    <n v="71764"/>
    <s v="Welcome Center"/>
    <s v="Welcome Centr Supervisor"/>
    <m/>
    <n v="48500"/>
    <n v="56816"/>
    <n v="65132"/>
  </r>
  <r>
    <s v="Steel"/>
    <s v="Brianna"/>
    <n v="14933"/>
    <d v="2020-09-29T00:00:00"/>
    <n v="1.2555555555555555"/>
    <d v="2020-09-29T00:00:00"/>
    <n v="1.2555555555555555"/>
    <m/>
    <x v="3"/>
    <m/>
    <n v="39.383766233766231"/>
    <n v="60651"/>
    <n v="220"/>
    <n v="7"/>
    <n v="1"/>
    <n v="60651"/>
    <s v="Central Office"/>
    <s v="School Social Worker"/>
    <m/>
    <n v="68122"/>
    <n v="79259"/>
    <n v="90396"/>
  </r>
  <r>
    <s v="Stover"/>
    <s v="Abby"/>
    <n v="12789"/>
    <d v="2014-08-11T00:00:00"/>
    <n v="7.3888888888888893"/>
    <d v="2014-08-11T00:00:00"/>
    <n v="7.3888888888888893"/>
    <m/>
    <x v="0"/>
    <m/>
    <n v="37.562142857142859"/>
    <n v="52587"/>
    <n v="200"/>
    <n v="7"/>
    <n v="1"/>
    <n v="52587"/>
    <s v="Bluestone Elementary"/>
    <s v="Coach/Interventionist"/>
    <m/>
    <n v="48500"/>
    <n v="56816"/>
    <n v="65132"/>
  </r>
  <r>
    <s v="Strawderman"/>
    <s v="Jessica"/>
    <n v="14274"/>
    <d v="2018-08-13T00:00:00"/>
    <n v="3.3833333333333333"/>
    <d v="2018-08-13T00:00:00"/>
    <n v="3.3833333333333333"/>
    <m/>
    <x v="0"/>
    <m/>
    <n v="37.172142857142852"/>
    <n v="52041"/>
    <n v="200"/>
    <n v="7"/>
    <n v="1"/>
    <n v="52041"/>
    <s v="Bluestone Elementary"/>
    <s v="Music Teacher"/>
    <m/>
    <n v="48500"/>
    <n v="56816"/>
    <n v="65132"/>
  </r>
  <r>
    <s v="Strickler"/>
    <s v="Mary"/>
    <n v="10181"/>
    <d v="1984-08-21T00:00:00"/>
    <n v="37.361111111111114"/>
    <n v="30915"/>
    <n v="37.361111111111114"/>
    <m/>
    <x v="0"/>
    <m/>
    <n v="56.562142857142859"/>
    <n v="79187"/>
    <n v="200"/>
    <n v="7"/>
    <n v="1"/>
    <n v="79187"/>
    <s v="Harrisonburg High"/>
    <s v="English Teacher"/>
    <m/>
    <n v="48500"/>
    <n v="56816"/>
    <n v="65132"/>
  </r>
  <r>
    <s v="Stringham"/>
    <s v="Monica"/>
    <n v="12004"/>
    <d v="2011-08-15T00:00:00"/>
    <n v="10.377777777777778"/>
    <n v="40770"/>
    <n v="10.377777777777778"/>
    <m/>
    <x v="0"/>
    <m/>
    <n v="38.431428571428569"/>
    <n v="53804"/>
    <n v="200"/>
    <n v="7"/>
    <n v="1"/>
    <n v="53804"/>
    <s v="Skyline Middle"/>
    <s v="Math Teacher"/>
    <m/>
    <n v="48500"/>
    <n v="56816"/>
    <n v="65132"/>
  </r>
  <r>
    <s v="Strom"/>
    <s v="Jessica"/>
    <n v="13600"/>
    <d v="2016-08-15T00:00:00"/>
    <n v="5.3777777777777782"/>
    <n v="42597"/>
    <n v="5.3777777777777782"/>
    <m/>
    <x v="0"/>
    <m/>
    <n v="35.952857142857141"/>
    <n v="50334"/>
    <n v="200"/>
    <n v="7"/>
    <n v="1"/>
    <n v="50334"/>
    <s v="Keister Elementary"/>
    <s v="ESL Specialist"/>
    <m/>
    <n v="48500"/>
    <n v="56816"/>
    <n v="65132"/>
  </r>
  <r>
    <s v="Stutzman"/>
    <s v="Rachel"/>
    <n v="14479"/>
    <d v="2019-08-12T00:00:00"/>
    <n v="2.3861111111111111"/>
    <n v="43689"/>
    <n v="2.3861111111111111"/>
    <m/>
    <x v="0"/>
    <m/>
    <n v="35.007857142857141"/>
    <n v="49011"/>
    <n v="200"/>
    <n v="7"/>
    <n v="1"/>
    <n v="49011"/>
    <s v="Waterman Elementary"/>
    <s v="Fourth Grade Teacher"/>
    <m/>
    <n v="48500"/>
    <n v="56816"/>
    <n v="65132"/>
  </r>
  <r>
    <s v="Summers"/>
    <s v="Andrew"/>
    <n v="13578"/>
    <d v="2016-08-15T00:00:00"/>
    <n v="5.3777777777777782"/>
    <n v="42597"/>
    <n v="5.3777777777777782"/>
    <m/>
    <x v="0"/>
    <m/>
    <n v="35.952857142857141"/>
    <n v="50334"/>
    <n v="200"/>
    <n v="7"/>
    <n v="1"/>
    <n v="50334"/>
    <s v="Harrisonburg High"/>
    <s v="Social Studies Teacher"/>
    <m/>
    <n v="48500"/>
    <n v="56816"/>
    <n v="65132"/>
  </r>
  <r>
    <s v="Sviatko"/>
    <s v="Laurel"/>
    <n v="14403"/>
    <d v="2019-08-12T00:00:00"/>
    <n v="2.3861111111111111"/>
    <n v="43689"/>
    <n v="2.3861111111111111"/>
    <m/>
    <x v="0"/>
    <m/>
    <n v="38.344285714285718"/>
    <n v="53682"/>
    <n v="200"/>
    <n v="7"/>
    <n v="1"/>
    <n v="53682"/>
    <s v="Thomas Harrison Middle"/>
    <s v="English Teacher"/>
    <m/>
    <n v="48500"/>
    <n v="56816"/>
    <n v="65132"/>
  </r>
  <r>
    <s v="Swanson"/>
    <s v="Allison"/>
    <n v="12586"/>
    <d v="2013-08-13T00:00:00"/>
    <n v="8.3833333333333329"/>
    <n v="41499"/>
    <n v="8.3833333333333329"/>
    <m/>
    <x v="0"/>
    <m/>
    <n v="38.890714285714289"/>
    <n v="54447"/>
    <n v="200"/>
    <n v="7"/>
    <n v="1"/>
    <n v="54447"/>
    <s v="Keister Elementary"/>
    <s v="ESL Specialist"/>
    <m/>
    <n v="48500"/>
    <n v="56816"/>
    <n v="65132"/>
  </r>
  <r>
    <s v="Swartley"/>
    <s v="Michelle"/>
    <n v="12807"/>
    <d v="2014-08-11T00:00:00"/>
    <n v="7.3888888888888893"/>
    <n v="41862"/>
    <n v="7.3888888888888893"/>
    <m/>
    <x v="0"/>
    <m/>
    <n v="37.575714285714284"/>
    <n v="52606"/>
    <n v="200"/>
    <n v="7"/>
    <n v="1"/>
    <n v="52606"/>
    <s v="Thomas Harrison Middle"/>
    <s v="Math Teacher"/>
    <m/>
    <n v="48500"/>
    <n v="56816"/>
    <n v="65132"/>
  </r>
  <r>
    <s v="Swartz"/>
    <s v="Eliot"/>
    <n v="11128"/>
    <d v="2006-05-31T00:00:00"/>
    <n v="15.58611111111111"/>
    <n v="38868"/>
    <n v="15.58611111111111"/>
    <m/>
    <x v="0"/>
    <m/>
    <n v="38.890714285714289"/>
    <n v="54447"/>
    <n v="200"/>
    <n v="7"/>
    <n v="1"/>
    <n v="54447"/>
    <s v="Keister Elementary"/>
    <s v="Health and PE Teacher"/>
    <m/>
    <n v="48500"/>
    <n v="56816"/>
    <n v="65132"/>
  </r>
  <r>
    <s v="Swartzentruber"/>
    <s v="Lucinda"/>
    <n v="13840"/>
    <d v="2017-08-21T00:00:00"/>
    <n v="4.3611111111111107"/>
    <n v="42968"/>
    <n v="4.3611111111111107"/>
    <m/>
    <x v="0"/>
    <m/>
    <n v="43.600714285714282"/>
    <n v="61041"/>
    <n v="200"/>
    <n v="7"/>
    <n v="1"/>
    <n v="61041"/>
    <s v="Bluestone Elementary"/>
    <s v="Reading Specialist"/>
    <m/>
    <n v="48500"/>
    <n v="56816"/>
    <n v="65132"/>
  </r>
  <r>
    <s v="Sweetman"/>
    <s v="Sarah"/>
    <n v="13841"/>
    <d v="2017-08-01T00:00:00"/>
    <n v="4.416666666666667"/>
    <n v="42948"/>
    <n v="4.416666666666667"/>
    <m/>
    <x v="0"/>
    <m/>
    <n v="35.598051948051946"/>
    <n v="54821"/>
    <n v="220"/>
    <n v="7"/>
    <n v="1"/>
    <n v="54821"/>
    <s v="Harrisonburg High"/>
    <s v="School Counselor"/>
    <m/>
    <n v="48500"/>
    <n v="56816"/>
    <n v="65132"/>
  </r>
  <r>
    <s v="Swisher"/>
    <s v="Sierra"/>
    <n v="15045"/>
    <d v="2021-07-19T00:00:00"/>
    <n v="0.45"/>
    <n v="44396"/>
    <n v="0.45"/>
    <m/>
    <x v="0"/>
    <m/>
    <n v="34.642857142857146"/>
    <n v="53350"/>
    <n v="220"/>
    <n v="7"/>
    <n v="1"/>
    <n v="53350"/>
    <s v="Harrisonburg High"/>
    <s v="School Counselor"/>
    <m/>
    <n v="48500"/>
    <n v="56816"/>
    <n v="65132"/>
  </r>
  <r>
    <s v="Switzer"/>
    <s v="Ashley"/>
    <n v="14443"/>
    <d v="2018-12-18T00:00:00"/>
    <n v="3.036111111111111"/>
    <n v="43452"/>
    <n v="3.036111111111111"/>
    <m/>
    <x v="0"/>
    <m/>
    <n v="35.007857142857141"/>
    <n v="49011"/>
    <n v="200"/>
    <n v="7"/>
    <n v="1"/>
    <n v="49011"/>
    <s v="Bluestone Elementary"/>
    <s v="Third Grade Teacher"/>
    <m/>
    <n v="48500"/>
    <n v="56816"/>
    <n v="65132"/>
  </r>
  <r>
    <s v="Szucs"/>
    <s v="Alexandra"/>
    <n v="14190"/>
    <d v="2018-04-04T00:00:00"/>
    <n v="3.7416666666666667"/>
    <n v="43194"/>
    <n v="3.7416666666666667"/>
    <m/>
    <x v="0"/>
    <m/>
    <n v="35.25"/>
    <n v="49350"/>
    <n v="200"/>
    <n v="7"/>
    <n v="1"/>
    <n v="49350"/>
    <s v="Spotswood Elementary"/>
    <s v="ESL Specialist"/>
    <m/>
    <n v="48500"/>
    <n v="56816"/>
    <n v="65132"/>
  </r>
  <r>
    <s v="Taylor"/>
    <s v="Todd"/>
    <n v="10598"/>
    <d v="2000-08-16T00:00:00"/>
    <n v="21.375"/>
    <n v="36754"/>
    <n v="21.375"/>
    <m/>
    <x v="0"/>
    <m/>
    <n v="40.299285714285716"/>
    <n v="56419"/>
    <n v="200"/>
    <n v="7"/>
    <n v="1"/>
    <n v="56419"/>
    <s v="Skyline Middle"/>
    <s v="Health and PE Teacher"/>
    <m/>
    <n v="48500"/>
    <n v="56816"/>
    <n v="65132"/>
  </r>
  <r>
    <s v="Teague"/>
    <s v="Haley"/>
    <n v="14237"/>
    <d v="2018-08-13T00:00:00"/>
    <n v="3.3833333333333333"/>
    <n v="43325"/>
    <n v="3.3833333333333333"/>
    <m/>
    <x v="0"/>
    <m/>
    <n v="35.25"/>
    <n v="49350"/>
    <n v="200"/>
    <n v="7"/>
    <n v="1"/>
    <n v="49350"/>
    <s v="Stone Spring Elementary"/>
    <s v="Second Grade Teacher"/>
    <m/>
    <n v="48500"/>
    <n v="56816"/>
    <n v="65132"/>
  </r>
  <r>
    <s v="Tejedor Hernandez"/>
    <s v="Eliana"/>
    <n v="13982"/>
    <d v="2019-03-05T00:00:00"/>
    <n v="2.8222222222222224"/>
    <n v="43529"/>
    <n v="2.8222222222222224"/>
    <m/>
    <x v="0"/>
    <m/>
    <n v="34.865000000000002"/>
    <n v="48811"/>
    <n v="200"/>
    <n v="7"/>
    <n v="1"/>
    <n v="48811"/>
    <s v="Bluestone Elementary"/>
    <s v="Home School Liaison"/>
    <m/>
    <n v="48500"/>
    <n v="56816"/>
    <n v="65132"/>
  </r>
  <r>
    <s v="Thomas"/>
    <s v="Laura"/>
    <n v="11552"/>
    <d v="2009-08-14T00:00:00"/>
    <n v="12.380555555555556"/>
    <n v="40039"/>
    <n v="12.380555555555556"/>
    <m/>
    <x v="0"/>
    <m/>
    <n v="40.692857142857143"/>
    <n v="56970"/>
    <n v="200"/>
    <n v="7"/>
    <n v="1"/>
    <n v="56970"/>
    <s v="Waterman Elementary"/>
    <s v="Reading Specialist"/>
    <m/>
    <n v="48500"/>
    <n v="56816"/>
    <n v="65132"/>
  </r>
  <r>
    <s v="Thompson"/>
    <s v="Andrew"/>
    <n v="10735"/>
    <d v="1995-04-21T00:00:00"/>
    <n v="26.694444444444443"/>
    <n v="34810"/>
    <n v="26.694444444444443"/>
    <m/>
    <x v="0"/>
    <m/>
    <n v="44.324999999999996"/>
    <n v="62055"/>
    <n v="200"/>
    <n v="7"/>
    <n v="1"/>
    <n v="62055"/>
    <s v="Thomas Harrison Middle"/>
    <s v="Health and PE Teacher"/>
    <m/>
    <n v="48500"/>
    <n v="56816"/>
    <n v="65132"/>
  </r>
  <r>
    <s v="Thompson"/>
    <s v="Grant"/>
    <n v="10734"/>
    <d v="1990-08-22T00:00:00"/>
    <n v="31.358333333333334"/>
    <n v="33107"/>
    <n v="31.358333333333334"/>
    <m/>
    <x v="0"/>
    <m/>
    <n v="52.782857142857146"/>
    <n v="73896"/>
    <n v="200"/>
    <n v="7"/>
    <n v="1"/>
    <n v="73896"/>
    <s v="Thomas Harrison Middle"/>
    <s v="Health and PE Teacher"/>
    <m/>
    <n v="48500"/>
    <n v="56816"/>
    <n v="65132"/>
  </r>
  <r>
    <s v="Thompson"/>
    <s v="Jennifer"/>
    <n v="10186"/>
    <d v="1989-01-11T00:00:00"/>
    <n v="32.972222222222221"/>
    <n v="32519"/>
    <n v="32.972222222222221"/>
    <m/>
    <x v="0"/>
    <m/>
    <n v="50.48571428571428"/>
    <n v="70680"/>
    <n v="200"/>
    <n v="7"/>
    <n v="1"/>
    <n v="70680"/>
    <s v="Harrisonburg High"/>
    <s v="Health and PE Teacher"/>
    <m/>
    <n v="48500"/>
    <n v="56816"/>
    <n v="65132"/>
  </r>
  <r>
    <s v="Thurston"/>
    <s v="Julie"/>
    <n v="12868"/>
    <d v="2014-08-11T00:00:00"/>
    <n v="7.3888888888888893"/>
    <n v="41862"/>
    <n v="7.3888888888888893"/>
    <m/>
    <x v="0"/>
    <m/>
    <n v="37.172142857142852"/>
    <n v="52041"/>
    <n v="200"/>
    <n v="7"/>
    <n v="1"/>
    <n v="52041"/>
    <s v="Skyline Middle"/>
    <s v="Special Education Teacher"/>
    <m/>
    <n v="48500"/>
    <n v="56816"/>
    <n v="65132"/>
  </r>
  <r>
    <s v="Tibbles"/>
    <s v="Julie"/>
    <n v="13588"/>
    <d v="2016-08-15T00:00:00"/>
    <n v="5.3777777777777782"/>
    <n v="42597"/>
    <n v="5.3777777777777782"/>
    <m/>
    <x v="0"/>
    <m/>
    <n v="37.575714285714284"/>
    <n v="52606"/>
    <n v="200"/>
    <n v="7"/>
    <n v="1"/>
    <n v="52606"/>
    <s v="Harrisonburg High"/>
    <s v="Math Teacher"/>
    <m/>
    <n v="48500"/>
    <n v="56816"/>
    <n v="65132"/>
  </r>
  <r>
    <s v="Tinkham"/>
    <s v="Kimberly"/>
    <n v="11745"/>
    <d v="2010-05-05T00:00:00"/>
    <n v="11.655555555555555"/>
    <n v="40303"/>
    <n v="11.655555555555555"/>
    <m/>
    <x v="0"/>
    <m/>
    <n v="37.951428571428572"/>
    <n v="53132"/>
    <n v="200"/>
    <n v="7"/>
    <n v="1"/>
    <n v="53132"/>
    <s v="Spotswood Elementary"/>
    <s v="Instructional Coach"/>
    <m/>
    <n v="48500"/>
    <n v="56816"/>
    <n v="65132"/>
  </r>
  <r>
    <s v="Tinsley"/>
    <s v="Moses"/>
    <n v="10076"/>
    <d v="2006-03-23T00:00:00"/>
    <n v="15.772222222222222"/>
    <n v="38799"/>
    <n v="15.772222222222222"/>
    <m/>
    <x v="0"/>
    <m/>
    <n v="38.431428571428569"/>
    <n v="53804"/>
    <n v="200"/>
    <n v="7"/>
    <n v="1"/>
    <n v="53804"/>
    <s v="Harrisonburg High"/>
    <s v="Business and Information Technology Teacher"/>
    <m/>
    <n v="48500"/>
    <n v="56816"/>
    <n v="65132"/>
  </r>
  <r>
    <s v="Toggas"/>
    <s v="Maria"/>
    <n v="10232"/>
    <d v="2006-08-09T00:00:00"/>
    <n v="15.394444444444444"/>
    <n v="38938"/>
    <n v="15.394444444444444"/>
    <m/>
    <x v="4"/>
    <m/>
    <n v="44.197333333333333"/>
    <n v="82870"/>
    <n v="250"/>
    <n v="7.5"/>
    <n v="1"/>
    <n v="82870"/>
    <s v="Central Office"/>
    <s v="School Psychologist"/>
    <m/>
    <n v="70472"/>
    <n v="84344"/>
    <n v="98216"/>
  </r>
  <r>
    <s v="Trobaugh"/>
    <s v="Anne Marie"/>
    <n v="13151"/>
    <d v="2015-08-17T00:00:00"/>
    <n v="6.3722222222222218"/>
    <n v="42233"/>
    <n v="6.3722222222222218"/>
    <m/>
    <x v="0"/>
    <m/>
    <n v="36.394285714285715"/>
    <n v="50952"/>
    <n v="200"/>
    <n v="7"/>
    <n v="1"/>
    <n v="50952"/>
    <s v="Elon Rhodes"/>
    <s v="VPI Teacher"/>
    <m/>
    <n v="48500"/>
    <n v="56816"/>
    <n v="65132"/>
  </r>
  <r>
    <s v="Troxell"/>
    <s v="Kelly"/>
    <n v="10318"/>
    <d v="2004-08-11T00:00:00"/>
    <n v="17.388888888888889"/>
    <n v="38210"/>
    <n v="17.388888888888889"/>
    <m/>
    <x v="0"/>
    <m/>
    <n v="39.505000000000003"/>
    <n v="55307"/>
    <n v="200"/>
    <n v="7"/>
    <n v="1"/>
    <n v="55307"/>
    <s v="Stone Spring Elementary"/>
    <s v="Instr Sup Math, Fine Arts"/>
    <m/>
    <n v="48500"/>
    <n v="56816"/>
    <n v="65132"/>
  </r>
  <r>
    <s v="Tucker"/>
    <s v="Kathryn"/>
    <n v="14963"/>
    <d v="2021-02-03T00:00:00"/>
    <n v="0.91111111111111109"/>
    <n v="44230"/>
    <n v="0.91111111111111109"/>
    <m/>
    <x v="0"/>
    <m/>
    <n v="34.642857142857146"/>
    <n v="48500"/>
    <n v="200"/>
    <n v="7"/>
    <n v="1"/>
    <n v="48500"/>
    <s v="Stone Spring Elementary"/>
    <s v="Fifth Grade Teacher"/>
    <m/>
    <n v="48500"/>
    <n v="56816"/>
    <n v="65132"/>
  </r>
  <r>
    <s v="Tueting"/>
    <s v="Mark"/>
    <n v="10188"/>
    <d v="2002-08-16T00:00:00"/>
    <n v="19.375"/>
    <n v="37484"/>
    <n v="19.375"/>
    <m/>
    <x v="0"/>
    <m/>
    <n v="43.382857142857141"/>
    <n v="60736"/>
    <n v="200"/>
    <n v="7"/>
    <n v="1"/>
    <n v="60736"/>
    <s v="Harrisonburg High"/>
    <s v="Social Studies Teacher"/>
    <m/>
    <n v="48500"/>
    <n v="56816"/>
    <n v="65132"/>
  </r>
  <r>
    <s v="Turner"/>
    <s v="Raven"/>
    <n v="14876"/>
    <d v="2020-08-12T00:00:00"/>
    <n v="1.3861111111111111"/>
    <n v="44055"/>
    <n v="1.3861111111111111"/>
    <m/>
    <x v="0"/>
    <m/>
    <n v="35.597857142857144"/>
    <n v="49837"/>
    <n v="200"/>
    <n v="7"/>
    <n v="1"/>
    <n v="49837"/>
    <s v="Waterman Elementary"/>
    <s v="Fifth Grade Teacher"/>
    <m/>
    <n v="48500"/>
    <n v="56816"/>
    <n v="65132"/>
  </r>
  <r>
    <s v="Tysinger"/>
    <s v="Kevin"/>
    <n v="10190"/>
    <d v="2000-08-28T00:00:00"/>
    <n v="21.341666666666665"/>
    <n v="36766"/>
    <n v="21.341666666666665"/>
    <m/>
    <x v="0"/>
    <m/>
    <n v="41.007857142857141"/>
    <n v="57411"/>
    <n v="200"/>
    <n v="7"/>
    <n v="1"/>
    <n v="57411"/>
    <s v="Harrisonburg High"/>
    <s v="Health and PE Teacher"/>
    <m/>
    <n v="48500"/>
    <n v="56816"/>
    <n v="65132"/>
  </r>
  <r>
    <s v="Uhl"/>
    <s v="Evelyn"/>
    <n v="14583"/>
    <d v="2019-08-12T00:00:00"/>
    <n v="2.3861111111111111"/>
    <n v="43689"/>
    <n v="2.3861111111111111"/>
    <m/>
    <x v="0"/>
    <m/>
    <n v="41.482142857142854"/>
    <n v="58075"/>
    <n v="200"/>
    <n v="7"/>
    <n v="1"/>
    <n v="58075"/>
    <s v="Stone Spring Elementary"/>
    <s v="Reading Specialist"/>
    <m/>
    <n v="48500"/>
    <n v="56816"/>
    <n v="65132"/>
  </r>
  <r>
    <s v="Upton Jr"/>
    <s v="Daniel"/>
    <n v="12343"/>
    <d v="2012-08-14T00:00:00"/>
    <n v="9.3805555555555564"/>
    <n v="41135"/>
    <n v="9.3805555555555564"/>
    <m/>
    <x v="0"/>
    <m/>
    <n v="37.561904761904763"/>
    <n v="55216"/>
    <n v="210"/>
    <n v="7"/>
    <n v="1"/>
    <n v="55216"/>
    <s v="Harrisonburg High"/>
    <s v="Band Teacher"/>
    <m/>
    <n v="48500"/>
    <n v="56816"/>
    <n v="65132"/>
  </r>
  <r>
    <s v="Valentine"/>
    <s v="Joseph"/>
    <n v="14869"/>
    <d v="2020-08-12T00:00:00"/>
    <n v="1.3861111111111111"/>
    <n v="44055"/>
    <n v="1.3861111111111111"/>
    <m/>
    <x v="0"/>
    <m/>
    <n v="34.865000000000002"/>
    <n v="48811"/>
    <n v="200"/>
    <n v="7"/>
    <n v="1"/>
    <n v="48811"/>
    <s v="Spotswood Elementary"/>
    <s v="Second Grade Teacher"/>
    <m/>
    <n v="48500"/>
    <n v="56816"/>
    <n v="65132"/>
  </r>
  <r>
    <s v="Van Demark"/>
    <s v="Laura"/>
    <n v="13694"/>
    <d v="2016-09-20T00:00:00"/>
    <n v="5.2805555555555559"/>
    <n v="42633"/>
    <n v="5.2805555555555559"/>
    <m/>
    <x v="0"/>
    <m/>
    <n v="34.865000000000002"/>
    <n v="48811"/>
    <n v="200"/>
    <n v="7"/>
    <n v="1"/>
    <n v="48811"/>
    <s v="Skyline Middle School"/>
    <s v="Social Studies Teacher"/>
    <m/>
    <n v="48500"/>
    <n v="56816"/>
    <n v="65132"/>
  </r>
  <r>
    <s v="Van Nortwick"/>
    <s v="Stephanie"/>
    <n v="11760"/>
    <d v="2010-08-11T00:00:00"/>
    <n v="11.388888888888889"/>
    <n v="40401"/>
    <n v="11.388888888888889"/>
    <m/>
    <x v="0"/>
    <m/>
    <n v="37.951428571428572"/>
    <n v="53132"/>
    <n v="200"/>
    <n v="7"/>
    <n v="1"/>
    <n v="53132"/>
    <s v="Smithland Elementary"/>
    <s v="Fourth Grade Teacher"/>
    <m/>
    <n v="48500"/>
    <n v="56816"/>
    <n v="65132"/>
  </r>
  <r>
    <s v="Vass"/>
    <s v="Courtney"/>
    <n v="10955"/>
    <d v="2007-09-07T00:00:00"/>
    <n v="14.316666666666666"/>
    <n v="39332"/>
    <n v="14.316666666666666"/>
    <m/>
    <x v="0"/>
    <m/>
    <n v="38.344285714285718"/>
    <n v="53682"/>
    <n v="200"/>
    <n v="7"/>
    <n v="1"/>
    <n v="53682"/>
    <s v="Harrisonburg High"/>
    <s v="Special Education Teacher"/>
    <m/>
    <n v="48500"/>
    <n v="56816"/>
    <n v="65132"/>
  </r>
  <r>
    <s v="Vass"/>
    <s v="Kris"/>
    <n v="10192"/>
    <d v="2001-08-15T00:00:00"/>
    <n v="20.377777777777776"/>
    <n v="37118"/>
    <n v="20.377777777777776"/>
    <m/>
    <x v="1"/>
    <m/>
    <n v="47.816000000000003"/>
    <n v="89655"/>
    <n v="250"/>
    <n v="7.5"/>
    <n v="1"/>
    <n v="89655"/>
    <s v="Central Office"/>
    <s v="Coordinator of Operations"/>
    <m/>
    <n v="72151"/>
    <n v="85836"/>
    <n v="99521"/>
  </r>
  <r>
    <s v="Vazquez"/>
    <s v="Alexandra"/>
    <n v="15122"/>
    <d v="2021-08-04T00:00:00"/>
    <n v="0.40833333333333333"/>
    <n v="44412"/>
    <n v="0.40833333333333333"/>
    <m/>
    <x v="0"/>
    <m/>
    <n v="34.642857142857146"/>
    <n v="48500"/>
    <n v="200"/>
    <n v="7"/>
    <n v="1"/>
    <n v="48500"/>
    <s v="Bluestone Elementary"/>
    <s v="Kindergarten DL Teacher"/>
    <m/>
    <n v="48500"/>
    <n v="56816"/>
    <n v="65132"/>
  </r>
  <r>
    <s v="Vette"/>
    <s v="Alyssa"/>
    <n v="13752"/>
    <d v="2017-02-22T00:00:00"/>
    <n v="4.8583333333333334"/>
    <n v="42788"/>
    <n v="4.8583333333333334"/>
    <m/>
    <x v="0"/>
    <m/>
    <n v="35.007857142857141"/>
    <n v="49011"/>
    <n v="200"/>
    <n v="7"/>
    <n v="1"/>
    <n v="49011"/>
    <s v="Keister Elementary"/>
    <s v="VPI Teacher"/>
    <m/>
    <n v="48500"/>
    <n v="56816"/>
    <n v="65132"/>
  </r>
  <r>
    <s v="Wahl"/>
    <s v="Andrea"/>
    <n v="13882"/>
    <d v="2017-08-21T00:00:00"/>
    <n v="4.3611111111111107"/>
    <n v="42968"/>
    <n v="4.3611111111111107"/>
    <m/>
    <x v="0"/>
    <m/>
    <n v="36.394285714285715"/>
    <n v="50952"/>
    <n v="200"/>
    <n v="7"/>
    <n v="1"/>
    <n v="50952"/>
    <s v="Harrisonburg High"/>
    <s v="Math Teacher"/>
    <m/>
    <n v="48500"/>
    <n v="56816"/>
    <n v="65132"/>
  </r>
  <r>
    <s v="Waldrop"/>
    <s v="Sarah"/>
    <n v="13829"/>
    <d v="2017-08-21T00:00:00"/>
    <n v="4.3611111111111107"/>
    <n v="42968"/>
    <n v="4.3611111111111107"/>
    <m/>
    <x v="0"/>
    <m/>
    <n v="36.119999999999997"/>
    <n v="50568"/>
    <n v="200"/>
    <n v="7"/>
    <n v="1"/>
    <n v="50568"/>
    <s v="Harrisonburg High"/>
    <s v="Art Teacher"/>
    <m/>
    <n v="48500"/>
    <n v="56816"/>
    <n v="65132"/>
  </r>
  <r>
    <s v="Walker"/>
    <s v="Sarah"/>
    <n v="14197"/>
    <d v="2018-04-17T00:00:00"/>
    <n v="3.7055555555555557"/>
    <n v="43207"/>
    <n v="3.7055555555555557"/>
    <m/>
    <x v="0"/>
    <m/>
    <n v="37.172142857142852"/>
    <n v="52041"/>
    <n v="200"/>
    <n v="7"/>
    <n v="1"/>
    <n v="52041"/>
    <s v="Bluestone Elementary"/>
    <s v="Fifth Grade Teacher"/>
    <m/>
    <n v="48500"/>
    <n v="56816"/>
    <n v="65132"/>
  </r>
  <r>
    <s v="Walters"/>
    <s v="Tara"/>
    <n v="12764"/>
    <d v="2014-06-16T00:00:00"/>
    <n v="7.541666666666667"/>
    <n v="41806"/>
    <n v="7.541666666666667"/>
    <m/>
    <x v="0"/>
    <m/>
    <n v="39.505000000000003"/>
    <n v="55307"/>
    <n v="200"/>
    <n v="7"/>
    <n v="1"/>
    <n v="55307"/>
    <s v="Keister Elementary"/>
    <s v="Information Technology Manager"/>
    <m/>
    <n v="48500"/>
    <n v="56816"/>
    <n v="65132"/>
  </r>
  <r>
    <s v="Walton"/>
    <s v="Cara"/>
    <n v="10193"/>
    <d v="1997-02-12T00:00:00"/>
    <n v="24.886111111111113"/>
    <n v="35473"/>
    <n v="24.886111111111113"/>
    <m/>
    <x v="0"/>
    <m/>
    <n v="41.482142857142854"/>
    <n v="58075"/>
    <n v="200"/>
    <n v="7"/>
    <n v="1"/>
    <n v="58075"/>
    <s v="Harrisonburg High"/>
    <s v="Social Studies Teacher"/>
    <m/>
    <n v="48500"/>
    <n v="56816"/>
    <n v="65132"/>
  </r>
  <r>
    <s v="Warner"/>
    <s v="Anita"/>
    <n v="10234"/>
    <d v="1996-02-02T00:00:00"/>
    <n v="25.913888888888888"/>
    <n v="35097"/>
    <n v="25.913888888888888"/>
    <m/>
    <x v="0"/>
    <m/>
    <n v="39.901360544217688"/>
    <n v="58655"/>
    <n v="210"/>
    <n v="7"/>
    <n v="1"/>
    <n v="58655"/>
    <s v="Elon Rhodes"/>
    <s v="Home School Liaison"/>
    <m/>
    <n v="48500"/>
    <n v="56816"/>
    <n v="65132"/>
  </r>
  <r>
    <s v="Watson"/>
    <s v="Haylee"/>
    <n v="14473"/>
    <d v="2019-08-12T00:00:00"/>
    <n v="2.3861111111111111"/>
    <n v="43689"/>
    <n v="2.3861111111111111"/>
    <m/>
    <x v="0"/>
    <m/>
    <n v="35.007857142857141"/>
    <n v="49011"/>
    <n v="200"/>
    <n v="7"/>
    <n v="1"/>
    <n v="49011"/>
    <s v="Stone Spring Elementary"/>
    <s v="SPED Teacher"/>
    <m/>
    <n v="48500"/>
    <n v="56816"/>
    <n v="65132"/>
  </r>
  <r>
    <s v="Watson"/>
    <s v="Patricia"/>
    <n v="12292"/>
    <d v="2012-06-18T00:00:00"/>
    <n v="9.5361111111111114"/>
    <n v="41078"/>
    <n v="9.5361111111111114"/>
    <m/>
    <x v="0"/>
    <m/>
    <n v="41.007857142857141"/>
    <n v="57411"/>
    <n v="200"/>
    <n v="7"/>
    <n v="1"/>
    <n v="57411"/>
    <s v="Spotswood Elementary"/>
    <s v="Itrt"/>
    <m/>
    <n v="48500"/>
    <n v="56816"/>
    <n v="65132"/>
  </r>
  <r>
    <s v="Weaver"/>
    <s v="Anda"/>
    <n v="13437"/>
    <d v="2016-08-15T00:00:00"/>
    <n v="5.3777777777777782"/>
    <n v="42597"/>
    <n v="5.3777777777777782"/>
    <m/>
    <x v="0"/>
    <m/>
    <n v="36.78051948051948"/>
    <n v="56642"/>
    <n v="220"/>
    <n v="7"/>
    <n v="1"/>
    <n v="56642"/>
    <s v="Harrisonburg High"/>
    <s v="School Counseling Assistant Director"/>
    <m/>
    <n v="48500"/>
    <n v="56816"/>
    <n v="65132"/>
  </r>
  <r>
    <s v="Weaver"/>
    <s v="Katherine"/>
    <n v="14567"/>
    <d v="2019-08-12T00:00:00"/>
    <n v="2.3861111111111111"/>
    <n v="43689"/>
    <n v="2.3861111111111111"/>
    <m/>
    <x v="0"/>
    <m/>
    <n v="35.007857142857141"/>
    <n v="49011"/>
    <n v="200"/>
    <n v="7"/>
    <n v="1"/>
    <n v="49011"/>
    <s v="Thomas Harrison Middle"/>
    <s v="English Teacher"/>
    <m/>
    <n v="48500"/>
    <n v="56816"/>
    <n v="65132"/>
  </r>
  <r>
    <s v="Weaver"/>
    <s v="Megan"/>
    <n v="13862"/>
    <d v="2017-07-17T00:00:00"/>
    <n v="4.4555555555555557"/>
    <n v="42933"/>
    <n v="4.4555555555555557"/>
    <m/>
    <x v="0"/>
    <m/>
    <n v="35.597857142857144"/>
    <n v="49837"/>
    <n v="200"/>
    <n v="7"/>
    <n v="1"/>
    <n v="49837"/>
    <s v="Smithland Elementary"/>
    <s v="Fourth Grade Teacher"/>
    <m/>
    <n v="48500"/>
    <n v="56816"/>
    <n v="65132"/>
  </r>
  <r>
    <s v="Weaver"/>
    <s v="Rachel"/>
    <n v="13005"/>
    <d v="2015-01-27T00:00:00"/>
    <n v="6.927777777777778"/>
    <n v="42031"/>
    <n v="6.927777777777778"/>
    <m/>
    <x v="0"/>
    <m/>
    <n v="36.394285714285715"/>
    <n v="50952"/>
    <n v="200"/>
    <n v="7"/>
    <n v="1"/>
    <n v="50952"/>
    <s v="Skyline Middle School"/>
    <s v="Math Teacher"/>
    <m/>
    <n v="48500"/>
    <n v="56816"/>
    <n v="65132"/>
  </r>
  <r>
    <s v="Webb"/>
    <s v="Suzanne"/>
    <n v="10488"/>
    <d v="2000-08-16T00:00:00"/>
    <n v="21.375"/>
    <n v="36754"/>
    <n v="21.375"/>
    <m/>
    <x v="0"/>
    <m/>
    <n v="56.561904761904763"/>
    <n v="83146"/>
    <n v="210"/>
    <n v="7"/>
    <n v="1"/>
    <n v="83146"/>
    <s v="Elon Rhodes"/>
    <s v="VPI Coordinator"/>
    <m/>
    <n v="48500"/>
    <n v="56816"/>
    <n v="65132"/>
  </r>
  <r>
    <s v="Weeks"/>
    <s v="Alexa"/>
    <n v="14231"/>
    <d v="2018-05-15T00:00:00"/>
    <n v="3.6277777777777778"/>
    <n v="43235"/>
    <n v="3.6277777777777778"/>
    <m/>
    <x v="0"/>
    <m/>
    <n v="35.25"/>
    <n v="49350"/>
    <n v="200"/>
    <n v="7"/>
    <n v="1"/>
    <n v="49350"/>
    <s v="Smithland Elementary"/>
    <s v="Third Grade Teacher"/>
    <m/>
    <n v="48500"/>
    <n v="56816"/>
    <n v="65132"/>
  </r>
  <r>
    <s v="Wells"/>
    <s v="Meredith"/>
    <n v="15114"/>
    <d v="2021-08-04T00:00:00"/>
    <n v="0.40833333333333333"/>
    <n v="44412"/>
    <n v="0.40833333333333333"/>
    <m/>
    <x v="0"/>
    <m/>
    <n v="35.007857142857141"/>
    <n v="49011"/>
    <n v="200"/>
    <n v="7"/>
    <n v="1"/>
    <n v="49011"/>
    <s v="Bluestone Elementary"/>
    <s v="Kindergarten Teacher"/>
    <m/>
    <n v="48500"/>
    <n v="56816"/>
    <n v="65132"/>
  </r>
  <r>
    <s v="Wenger"/>
    <s v="Katelyn"/>
    <n v="14866"/>
    <d v="2020-08-12T00:00:00"/>
    <n v="1.3861111111111111"/>
    <n v="44055"/>
    <n v="1.3861111111111111"/>
    <m/>
    <x v="0"/>
    <m/>
    <n v="34.865000000000002"/>
    <n v="48811"/>
    <n v="200"/>
    <n v="7"/>
    <n v="1"/>
    <n v="48811"/>
    <s v="Smithland Elementary"/>
    <s v="SPED Teacher"/>
    <m/>
    <n v="48500"/>
    <n v="56816"/>
    <n v="65132"/>
  </r>
  <r>
    <s v="Wenger"/>
    <s v="Sharon"/>
    <n v="10489"/>
    <d v="2003-08-18T00:00:00"/>
    <n v="18.369444444444444"/>
    <n v="37851"/>
    <n v="18.369444444444444"/>
    <m/>
    <x v="0"/>
    <m/>
    <n v="40.299285714285716"/>
    <n v="56419"/>
    <n v="200"/>
    <n v="7"/>
    <n v="1"/>
    <n v="56419"/>
    <s v="Stone Spring Elementary"/>
    <s v="First Grade Teacher"/>
    <m/>
    <n v="48500"/>
    <n v="56816"/>
    <n v="65132"/>
  </r>
  <r>
    <s v="Wenger"/>
    <s v="Taylor"/>
    <n v="15015"/>
    <d v="2021-04-21T00:00:00"/>
    <n v="0.69444444444444442"/>
    <n v="44307"/>
    <n v="0.69444444444444442"/>
    <m/>
    <x v="0"/>
    <m/>
    <n v="34.642857142857146"/>
    <n v="48500"/>
    <n v="200"/>
    <n v="7"/>
    <n v="1"/>
    <n v="48500"/>
    <s v="Spotswood Elementary"/>
    <s v="School Counselor"/>
    <m/>
    <n v="48500"/>
    <n v="56816"/>
    <n v="65132"/>
  </r>
  <r>
    <s v="Werner"/>
    <s v="Amy"/>
    <n v="10651"/>
    <d v="2000-08-16T00:00:00"/>
    <n v="21.375"/>
    <n v="36754"/>
    <n v="21.375"/>
    <m/>
    <x v="0"/>
    <m/>
    <n v="42.532142857142858"/>
    <n v="59545"/>
    <n v="200"/>
    <n v="7"/>
    <n v="1"/>
    <n v="59545"/>
    <s v="Thomas Harrison Middle"/>
    <s v="Home School Liaison"/>
    <m/>
    <n v="48500"/>
    <n v="56816"/>
    <n v="65132"/>
  </r>
  <r>
    <s v="Werner"/>
    <s v="Patrick"/>
    <n v="10738"/>
    <d v="2000-05-10T00:00:00"/>
    <n v="21.641666666666666"/>
    <n v="36656"/>
    <n v="21.641666666666666"/>
    <m/>
    <x v="0"/>
    <m/>
    <n v="41.007857142857141"/>
    <n v="57411"/>
    <n v="200"/>
    <n v="7"/>
    <n v="1"/>
    <n v="57411"/>
    <s v="Thomas Harrison Middle"/>
    <s v="Social Studies Teacher"/>
    <m/>
    <n v="48500"/>
    <n v="56816"/>
    <n v="65132"/>
  </r>
  <r>
    <s v="Wheeler"/>
    <s v="Jacob"/>
    <n v="13298"/>
    <d v="2015-09-16T00:00:00"/>
    <n v="6.291666666666667"/>
    <n v="42263"/>
    <n v="6.291666666666667"/>
    <m/>
    <x v="0"/>
    <m/>
    <n v="35.952857142857141"/>
    <n v="50334"/>
    <n v="200"/>
    <n v="7"/>
    <n v="1"/>
    <n v="50334"/>
    <s v="Thomas Harrison Middle"/>
    <s v="Civics/Economics Teacher"/>
    <m/>
    <n v="48500"/>
    <n v="56816"/>
    <n v="65132"/>
  </r>
  <r>
    <s v="Wheeler"/>
    <s v="Laura"/>
    <n v="15121"/>
    <d v="2021-08-04T00:00:00"/>
    <n v="0.40833333333333333"/>
    <n v="44412"/>
    <n v="0.40833333333333333"/>
    <m/>
    <x v="0"/>
    <m/>
    <n v="36.780714285714282"/>
    <n v="51493"/>
    <n v="200"/>
    <n v="7"/>
    <n v="1"/>
    <n v="51493"/>
    <s v="Keister Elementary"/>
    <s v="Reading Specialist"/>
    <m/>
    <n v="48500"/>
    <n v="56816"/>
    <n v="65132"/>
  </r>
  <r>
    <s v="Whetzel"/>
    <s v="Karen"/>
    <n v="10195"/>
    <d v="1998-08-18T00:00:00"/>
    <n v="23.369444444444444"/>
    <n v="36025"/>
    <n v="23.369444444444444"/>
    <m/>
    <x v="0"/>
    <m/>
    <n v="42.532142857142858"/>
    <n v="59545"/>
    <n v="200"/>
    <n v="7"/>
    <n v="1"/>
    <n v="59545"/>
    <s v="Harrisonburg High"/>
    <s v="Special Education Teacher"/>
    <m/>
    <n v="48500"/>
    <n v="56816"/>
    <n v="65132"/>
  </r>
  <r>
    <s v="White"/>
    <s v="Clive"/>
    <n v="14055"/>
    <d v="2017-11-13T00:00:00"/>
    <n v="4.1333333333333337"/>
    <n v="43052"/>
    <n v="4.1333333333333337"/>
    <m/>
    <x v="0"/>
    <m/>
    <n v="37.951428571428572"/>
    <n v="53132"/>
    <n v="200"/>
    <n v="7"/>
    <n v="1"/>
    <n v="53132"/>
    <s v="Central Office"/>
    <s v="Behavior Specialist"/>
    <m/>
    <n v="48500"/>
    <n v="56816"/>
    <n v="65132"/>
  </r>
  <r>
    <s v="Wilder"/>
    <s v="Russell"/>
    <n v="12313"/>
    <d v="2012-08-01T00:00:00"/>
    <n v="9.4166666666666661"/>
    <n v="41122"/>
    <n v="9.4166666666666661"/>
    <m/>
    <x v="0"/>
    <m/>
    <n v="58.812337662337661"/>
    <n v="90571"/>
    <n v="220"/>
    <n v="7"/>
    <n v="1"/>
    <n v="90571"/>
    <s v="Harrisonburg High"/>
    <s v="JROTC Assistant"/>
    <m/>
    <n v="48500"/>
    <n v="56816"/>
    <n v="65132"/>
  </r>
  <r>
    <s v="Williams"/>
    <s v="Oneida"/>
    <n v="13273"/>
    <d v="2015-08-27T00:00:00"/>
    <n v="6.3444444444444441"/>
    <n v="42243"/>
    <n v="6.3444444444444441"/>
    <m/>
    <x v="0"/>
    <m/>
    <n v="40.299285714285716"/>
    <n v="56419"/>
    <n v="200"/>
    <n v="7"/>
    <n v="1"/>
    <n v="56419"/>
    <s v="Keister Elementary"/>
    <s v="PE Teacher"/>
    <m/>
    <n v="48500"/>
    <n v="56816"/>
    <n v="65132"/>
  </r>
  <r>
    <s v="Williams"/>
    <s v="Taylor"/>
    <n v="14886"/>
    <d v="2020-08-12T00:00:00"/>
    <n v="1.3861111111111111"/>
    <n v="44055"/>
    <n v="1.3861111111111111"/>
    <m/>
    <x v="0"/>
    <m/>
    <n v="34.865000000000002"/>
    <n v="48811"/>
    <n v="200"/>
    <n v="7"/>
    <n v="1"/>
    <n v="48811"/>
    <s v="Skyline Middle School"/>
    <s v="Science Teacher"/>
    <m/>
    <n v="48500"/>
    <n v="56816"/>
    <n v="65132"/>
  </r>
  <r>
    <s v="Wilson"/>
    <s v="Bryan"/>
    <n v="11979"/>
    <d v="2011-04-20T00:00:00"/>
    <n v="10.697222222222223"/>
    <n v="40653"/>
    <n v="10.697222222222223"/>
    <m/>
    <x v="0"/>
    <m/>
    <n v="37.951428571428572"/>
    <n v="53132"/>
    <n v="200"/>
    <n v="7"/>
    <n v="1"/>
    <n v="53132"/>
    <s v="Harrisonburg High"/>
    <s v="Advanced Learning/STEM Specialist"/>
    <m/>
    <n v="48500"/>
    <n v="56816"/>
    <n v="65132"/>
  </r>
  <r>
    <s v="Wilson"/>
    <s v="Melody"/>
    <n v="11877"/>
    <d v="2010-11-03T00:00:00"/>
    <n v="11.161111111111111"/>
    <n v="40485"/>
    <n v="11.161111111111111"/>
    <m/>
    <x v="0"/>
    <m/>
    <n v="38.890714285714289"/>
    <n v="54447"/>
    <n v="200"/>
    <n v="7"/>
    <n v="1"/>
    <n v="54447"/>
    <s v="Harrisonburg High"/>
    <s v="English Teacher"/>
    <m/>
    <n v="48500"/>
    <n v="56816"/>
    <n v="65132"/>
  </r>
  <r>
    <s v="Wilson"/>
    <s v="Stephanie"/>
    <n v="10321"/>
    <d v="2006-08-09T00:00:00"/>
    <n v="15.394444444444444"/>
    <n v="38938"/>
    <n v="15.394444444444444"/>
    <m/>
    <x v="0"/>
    <m/>
    <n v="40.692857142857143"/>
    <n v="56970"/>
    <n v="200"/>
    <n v="7"/>
    <n v="1"/>
    <n v="56970"/>
    <s v="Thomas Harrison Middle"/>
    <s v="Advanced Learning Specialist"/>
    <m/>
    <n v="48500"/>
    <n v="56816"/>
    <n v="65132"/>
  </r>
  <r>
    <s v="Windsor"/>
    <s v="Nancy"/>
    <n v="15038"/>
    <d v="2021-08-04T00:00:00"/>
    <n v="0.40833333333333333"/>
    <n v="44412"/>
    <n v="0.40833333333333333"/>
    <m/>
    <x v="0"/>
    <m/>
    <n v="35.597857142857144"/>
    <n v="49837"/>
    <n v="200"/>
    <n v="7"/>
    <n v="1"/>
    <n v="49837"/>
    <s v="Waterman Elementary"/>
    <s v="School Counselor"/>
    <m/>
    <n v="48500"/>
    <n v="56816"/>
    <n v="65132"/>
  </r>
  <r>
    <s v="Wise"/>
    <s v="Emily"/>
    <n v="12909"/>
    <d v="2014-09-17T00:00:00"/>
    <n v="7.2888888888888888"/>
    <n v="41899"/>
    <n v="7.2888888888888888"/>
    <m/>
    <x v="0"/>
    <m/>
    <n v="36.394285714285715"/>
    <n v="50952"/>
    <n v="200"/>
    <n v="7"/>
    <n v="1"/>
    <n v="50952"/>
    <s v="Stone Spring Elementary"/>
    <s v="ESL Specialist"/>
    <m/>
    <n v="48500"/>
    <n v="56816"/>
    <n v="65132"/>
  </r>
  <r>
    <s v="Wisor"/>
    <s v="Sarah"/>
    <n v="13177"/>
    <d v="2015-08-01T00:00:00"/>
    <n v="6.416666666666667"/>
    <n v="42217"/>
    <n v="6.416666666666667"/>
    <m/>
    <x v="0"/>
    <m/>
    <n v="37.951298701298704"/>
    <n v="58445"/>
    <n v="220"/>
    <n v="7"/>
    <n v="1"/>
    <n v="58445"/>
    <s v="Skyline Middle"/>
    <s v="School Counselor"/>
    <m/>
    <n v="48500"/>
    <n v="56816"/>
    <n v="65132"/>
  </r>
  <r>
    <s v="Witzke"/>
    <s v="Emily"/>
    <n v="14924"/>
    <d v="2020-08-31T00:00:00"/>
    <n v="1.336111111111111"/>
    <n v="44074"/>
    <n v="1.336111111111111"/>
    <m/>
    <x v="0"/>
    <m/>
    <n v="34.865000000000002"/>
    <n v="48811"/>
    <n v="200"/>
    <n v="7"/>
    <n v="1"/>
    <n v="48811"/>
    <s v="Harrisonburg High"/>
    <s v="CTE Teacher"/>
    <m/>
    <n v="48500"/>
    <n v="56816"/>
    <n v="65132"/>
  </r>
  <r>
    <s v="Wolcott"/>
    <s v="Amanda"/>
    <n v="12205"/>
    <d v="2012-01-18T00:00:00"/>
    <n v="9.9527777777777775"/>
    <n v="40926"/>
    <n v="9.9527777777777775"/>
    <m/>
    <x v="0"/>
    <m/>
    <n v="37.562142857142859"/>
    <n v="52587"/>
    <n v="200"/>
    <n v="7"/>
    <n v="1"/>
    <n v="52587"/>
    <s v="Elon Rhodes"/>
    <s v="Instructional Coach"/>
    <m/>
    <n v="48500"/>
    <n v="56816"/>
    <n v="65132"/>
  </r>
  <r>
    <s v="Wolter"/>
    <s v="Holli"/>
    <n v="14193"/>
    <d v="2018-07-01T00:00:00"/>
    <n v="3.5"/>
    <n v="43282"/>
    <n v="3.5"/>
    <m/>
    <x v="0"/>
    <m/>
    <n v="50.48571428571428"/>
    <n v="70680"/>
    <n v="200"/>
    <n v="7"/>
    <n v="1"/>
    <n v="70680"/>
    <s v="Harrisonburg High"/>
    <s v="English Teacher"/>
    <m/>
    <n v="48500"/>
    <n v="56816"/>
    <n v="65132"/>
  </r>
  <r>
    <s v="Woodard"/>
    <s v="Alyssa"/>
    <n v="14318"/>
    <d v="2018-08-14T00:00:00"/>
    <n v="3.3805555555555555"/>
    <n v="43326"/>
    <n v="3.3805555555555555"/>
    <m/>
    <x v="0"/>
    <m/>
    <n v="35.25"/>
    <n v="49350"/>
    <n v="200"/>
    <n v="7"/>
    <n v="1"/>
    <n v="49350"/>
    <s v="Keister Elementary"/>
    <s v="Third Grade Teacher"/>
    <m/>
    <n v="48500"/>
    <n v="56816"/>
    <n v="65132"/>
  </r>
  <r>
    <s v="Woods"/>
    <s v="Angel"/>
    <n v="13607"/>
    <d v="2016-08-15T00:00:00"/>
    <n v="5.3777777777777782"/>
    <n v="42597"/>
    <n v="5.3777777777777782"/>
    <m/>
    <x v="0"/>
    <m/>
    <n v="37.172142857142852"/>
    <n v="52041"/>
    <n v="200"/>
    <n v="7"/>
    <n v="1"/>
    <n v="52041"/>
    <s v="Thomas Harrison Middle"/>
    <s v="Art Teacher"/>
    <m/>
    <n v="48500"/>
    <n v="56816"/>
    <n v="65132"/>
  </r>
  <r>
    <m/>
    <m/>
    <m/>
    <m/>
    <m/>
    <m/>
    <m/>
    <m/>
    <x v="2"/>
    <m/>
    <m/>
    <m/>
    <m/>
    <m/>
    <m/>
    <m/>
    <m/>
    <m/>
    <m/>
    <m/>
    <m/>
    <m/>
  </r>
  <r>
    <s v="Wootten"/>
    <s v="Kristen"/>
    <n v="12755"/>
    <d v="2014-08-11T00:00:00"/>
    <n v="7.3888888888888893"/>
    <n v="41862"/>
    <n v="7.3888888888888893"/>
    <m/>
    <x v="0"/>
    <m/>
    <n v="37.172142857142852"/>
    <n v="52041"/>
    <n v="200"/>
    <n v="7"/>
    <n v="1"/>
    <n v="52041"/>
    <s v="Keister Elementary"/>
    <s v="Early Childhood SPED Teacher"/>
    <m/>
    <n v="48500"/>
    <n v="56816"/>
    <n v="65132"/>
  </r>
  <r>
    <s v="Wright"/>
    <s v="Jennifer"/>
    <n v="11136"/>
    <d v="1994-08-24T00:00:00"/>
    <n v="27.352777777777778"/>
    <n v="34570"/>
    <n v="27.352777777777778"/>
    <m/>
    <x v="0"/>
    <m/>
    <n v="45.785714285714285"/>
    <n v="64100"/>
    <n v="200"/>
    <n v="7"/>
    <n v="1"/>
    <n v="64100"/>
    <s v="Waterman Elementary"/>
    <s v="Special Education Teacher"/>
    <m/>
    <n v="48500"/>
    <n v="56816"/>
    <n v="65132"/>
  </r>
  <r>
    <s v="Wyant Jr"/>
    <s v="Ernest"/>
    <n v="12024"/>
    <d v="2011-08-15T00:00:00"/>
    <n v="10.377777777777778"/>
    <n v="40770"/>
    <n v="10.377777777777778"/>
    <m/>
    <x v="0"/>
    <m/>
    <n v="36.780714285714282"/>
    <n v="51493"/>
    <n v="200"/>
    <n v="7"/>
    <n v="1"/>
    <n v="51493"/>
    <s v="Smithland Elementary"/>
    <s v="PE Teacher"/>
    <m/>
    <n v="48500"/>
    <n v="56816"/>
    <n v="65132"/>
  </r>
  <r>
    <s v="Yashmi"/>
    <s v="Niloufar"/>
    <n v="11840"/>
    <d v="2010-09-13T00:00:00"/>
    <n v="11.3"/>
    <n v="40434"/>
    <n v="11.3"/>
    <m/>
    <x v="0"/>
    <m/>
    <n v="39.901428571428575"/>
    <n v="55862"/>
    <n v="200"/>
    <n v="7"/>
    <n v="1"/>
    <n v="55862"/>
    <s v="Harrisonburg High"/>
    <s v="Math Teacher"/>
    <m/>
    <n v="48500"/>
    <n v="56816"/>
    <n v="65132"/>
  </r>
  <r>
    <s v="Yoder"/>
    <s v="Allison"/>
    <n v="12578"/>
    <d v="2013-08-13T00:00:00"/>
    <n v="8.3833333333333329"/>
    <n v="41499"/>
    <n v="8.3833333333333329"/>
    <m/>
    <x v="0"/>
    <m/>
    <n v="37.172142857142852"/>
    <n v="52041"/>
    <n v="200"/>
    <n v="7"/>
    <n v="1"/>
    <n v="52041"/>
    <s v="Thomas Harrison Middle"/>
    <s v="Instructional Coach"/>
    <m/>
    <n v="48500"/>
    <n v="56816"/>
    <n v="65132"/>
  </r>
  <r>
    <s v="Yoder"/>
    <s v="Janae"/>
    <n v="15037"/>
    <d v="2021-08-04T00:00:00"/>
    <n v="0.40833333333333333"/>
    <n v="44412"/>
    <n v="0.40833333333333333"/>
    <m/>
    <x v="0"/>
    <m/>
    <n v="34.642857142857146"/>
    <n v="48500"/>
    <n v="200"/>
    <n v="7"/>
    <n v="1"/>
    <n v="48500"/>
    <s v="Stone Spring Elementary"/>
    <s v="Art Teacher"/>
    <m/>
    <n v="48500"/>
    <n v="56816"/>
    <n v="65132"/>
  </r>
  <r>
    <s v="Yoder"/>
    <s v="Katrina"/>
    <n v="11113"/>
    <d v="2007-08-16T00:00:00"/>
    <n v="14.375"/>
    <n v="39310"/>
    <n v="14.375"/>
    <m/>
    <x v="0"/>
    <m/>
    <n v="38.431428571428569"/>
    <n v="53804"/>
    <n v="200"/>
    <n v="7"/>
    <n v="1"/>
    <n v="53804"/>
    <s v="Waterman Elementary"/>
    <s v="Fourth Grade Teacher"/>
    <m/>
    <n v="48500"/>
    <n v="56816"/>
    <n v="65132"/>
  </r>
  <r>
    <s v="Yoder"/>
    <s v="Lawson"/>
    <n v="12344"/>
    <d v="2012-08-14T00:00:00"/>
    <n v="9.3805555555555564"/>
    <n v="41135"/>
    <n v="9.3805555555555564"/>
    <m/>
    <x v="0"/>
    <m/>
    <n v="45.785714285714285"/>
    <n v="64100"/>
    <n v="200"/>
    <n v="7"/>
    <n v="1"/>
    <n v="64100"/>
    <s v="Harrisonburg High"/>
    <s v="Social Studies Teacher"/>
    <m/>
    <n v="48500"/>
    <n v="56816"/>
    <n v="65132"/>
  </r>
  <r>
    <s v="Yoder"/>
    <s v="Linda"/>
    <n v="11137"/>
    <d v="1986-08-18T00:00:00"/>
    <n v="35.369444444444447"/>
    <n v="31642"/>
    <n v="35.369444444444447"/>
    <m/>
    <x v="0"/>
    <m/>
    <n v="52.782857142857146"/>
    <n v="73896"/>
    <n v="200"/>
    <n v="7"/>
    <n v="1"/>
    <n v="73896"/>
    <s v="Waterman Elementary"/>
    <s v="Kindergarten Teacher"/>
    <m/>
    <n v="48500"/>
    <n v="56816"/>
    <n v="65132"/>
  </r>
  <r>
    <s v="Yoder"/>
    <s v="Mary"/>
    <n v="12874"/>
    <d v="2014-08-11T00:00:00"/>
    <n v="7.3888888888888893"/>
    <n v="41862"/>
    <n v="7.3888888888888893"/>
    <m/>
    <x v="0"/>
    <m/>
    <n v="34.642857142857146"/>
    <n v="48500"/>
    <n v="200"/>
    <n v="7"/>
    <n v="1"/>
    <n v="48500"/>
    <s v="Keister Elementary"/>
    <s v="ESL Specialist"/>
    <m/>
    <n v="48500"/>
    <n v="56816"/>
    <n v="65132"/>
  </r>
  <r>
    <s v="Yoder"/>
    <s v="Michael"/>
    <n v="11716"/>
    <d v="2010-02-17T00:00:00"/>
    <n v="11.872222222222222"/>
    <n v="40226"/>
    <n v="11.872222222222222"/>
    <m/>
    <x v="0"/>
    <m/>
    <n v="37.951428571428572"/>
    <n v="53132"/>
    <n v="200"/>
    <n v="7"/>
    <n v="1"/>
    <n v="53132"/>
    <s v="Stone Spring Elementary"/>
    <s v="Fourth Grade Teacher"/>
    <m/>
    <n v="48500"/>
    <n v="56816"/>
    <n v="65132"/>
  </r>
  <r>
    <s v="Yoder"/>
    <s v="Mitchell"/>
    <n v="11687"/>
    <d v="2009-12-16T00:00:00"/>
    <n v="12.041666666666666"/>
    <n v="40163"/>
    <n v="12.041666666666666"/>
    <m/>
    <x v="0"/>
    <m/>
    <n v="37.575714285714284"/>
    <n v="52606"/>
    <n v="200"/>
    <n v="7"/>
    <n v="1"/>
    <n v="52606"/>
    <s v="Bluestone Elementary"/>
    <s v="Fifth Grade Teacher"/>
    <m/>
    <n v="48500"/>
    <n v="56816"/>
    <n v="65132"/>
  </r>
  <r>
    <s v="Yoder"/>
    <s v="Nicole"/>
    <n v="14887"/>
    <d v="2020-08-01T00:00:00"/>
    <n v="1.4166666666666667"/>
    <n v="44044"/>
    <n v="1.4166666666666667"/>
    <m/>
    <x v="0"/>
    <m/>
    <n v="35.952857142857141"/>
    <n v="50334"/>
    <n v="200"/>
    <n v="7"/>
    <n v="1"/>
    <n v="50334"/>
    <s v="Harrisonburg High"/>
    <s v="Student Support Specialist"/>
    <m/>
    <n v="48500"/>
    <n v="56816"/>
    <n v="65132"/>
  </r>
  <r>
    <s v="Yoder"/>
    <s v="Sherwin"/>
    <n v="11316"/>
    <d v="2008-08-13T00:00:00"/>
    <n v="13.383333333333333"/>
    <n v="39673"/>
    <n v="13.383333333333333"/>
    <m/>
    <x v="0"/>
    <m/>
    <n v="38.344285714285718"/>
    <n v="53682"/>
    <n v="200"/>
    <n v="7"/>
    <n v="1"/>
    <n v="53682"/>
    <s v="Thomas Harrison Middle"/>
    <s v="Social Studies Teacher"/>
    <m/>
    <n v="48500"/>
    <n v="56816"/>
    <n v="65132"/>
  </r>
  <r>
    <s v="Yoder"/>
    <s v="Terri"/>
    <n v="10556"/>
    <d v="1995-01-09T00:00:00"/>
    <n v="26.977777777777778"/>
    <n v="34708"/>
    <n v="26.977777777777778"/>
    <m/>
    <x v="0"/>
    <m/>
    <n v="43.600714285714282"/>
    <n v="61041"/>
    <n v="200"/>
    <n v="7"/>
    <n v="1"/>
    <n v="61041"/>
    <s v="Smithland Elementary"/>
    <s v="ESL Specialist"/>
    <m/>
    <n v="48500"/>
    <n v="56816"/>
    <n v="65132"/>
  </r>
  <r>
    <s v="Young"/>
    <s v="Sally"/>
    <n v="10201"/>
    <d v="2007-08-16T00:00:00"/>
    <n v="14.375"/>
    <n v="39310"/>
    <n v="14.375"/>
    <m/>
    <x v="0"/>
    <m/>
    <n v="45.785714285714285"/>
    <n v="64100"/>
    <n v="200"/>
    <n v="7"/>
    <n v="1"/>
    <n v="64100"/>
    <s v="Harrisonburg High"/>
    <s v="French Teacher"/>
    <m/>
    <n v="48500"/>
    <n v="56816"/>
    <n v="65132"/>
  </r>
  <r>
    <s v="Yutzy"/>
    <s v="Philip"/>
    <n v="10203"/>
    <d v="1991-08-23T00:00:00"/>
    <n v="30.355555555555554"/>
    <n v="33473"/>
    <n v="30.355555555555554"/>
    <m/>
    <x v="0"/>
    <m/>
    <n v="51.747857142857143"/>
    <n v="72447"/>
    <n v="200"/>
    <n v="7"/>
    <n v="1"/>
    <n v="72447"/>
    <s v="Harrisonburg High"/>
    <s v="Spanish Teacher"/>
    <m/>
    <n v="48500"/>
    <n v="56816"/>
    <n v="65132"/>
  </r>
  <r>
    <s v="Zampini"/>
    <s v="Mikala"/>
    <n v="13846"/>
    <d v="2017-08-21T00:00:00"/>
    <n v="4.3611111111111107"/>
    <n v="42968"/>
    <n v="4.3611111111111107"/>
    <m/>
    <x v="0"/>
    <m/>
    <n v="35.597857142857144"/>
    <n v="49837"/>
    <n v="200"/>
    <n v="7"/>
    <n v="1"/>
    <n v="49837"/>
    <s v="Bluestone Elementary"/>
    <s v="Kindergarten Teacher"/>
    <m/>
    <n v="48500"/>
    <n v="56816"/>
    <n v="65132"/>
  </r>
  <r>
    <s v="Zepp"/>
    <s v="Amanda"/>
    <n v="15067"/>
    <d v="2021-08-04T00:00:00"/>
    <n v="0.40833333333333333"/>
    <n v="44412"/>
    <n v="0.40833333333333333"/>
    <m/>
    <x v="0"/>
    <m/>
    <n v="34.642857142857146"/>
    <n v="48500"/>
    <n v="200"/>
    <n v="7"/>
    <n v="1"/>
    <n v="48500"/>
    <s v="Central Office"/>
    <s v="Behavior Specialist"/>
    <m/>
    <n v="48500"/>
    <n v="56816"/>
    <n v="65132"/>
  </r>
  <r>
    <s v="Zirk"/>
    <s v="Karen"/>
    <n v="14631"/>
    <d v="2019-08-29T00:00:00"/>
    <n v="2.338888888888889"/>
    <n v="43706"/>
    <n v="2.338888888888889"/>
    <m/>
    <x v="0"/>
    <m/>
    <n v="36.119999999999997"/>
    <n v="50568"/>
    <n v="200"/>
    <n v="7"/>
    <n v="1"/>
    <n v="50568"/>
    <s v="Harrisonburg High"/>
    <s v="Science Teacher"/>
    <m/>
    <n v="48500"/>
    <n v="56816"/>
    <n v="65132"/>
  </r>
  <r>
    <s v="Zombro"/>
    <s v="Alicia"/>
    <n v="13861"/>
    <d v="2017-08-21T00:00:00"/>
    <n v="4.3611111111111107"/>
    <n v="42968"/>
    <n v="4.3611111111111107"/>
    <m/>
    <x v="0"/>
    <m/>
    <n v="42.532142857142858"/>
    <n v="59545"/>
    <n v="200"/>
    <n v="7"/>
    <n v="1"/>
    <n v="59545"/>
    <s v="Bluestone Elementary"/>
    <s v="School Counselor"/>
    <m/>
    <n v="48500"/>
    <n v="56816"/>
    <n v="65132"/>
  </r>
  <r>
    <s v="Zuniga Saborio"/>
    <s v="Maureen"/>
    <n v="12825"/>
    <d v="2014-08-11T00:00:00"/>
    <n v="7.3888888888888893"/>
    <n v="41862"/>
    <n v="7.3888888888888893"/>
    <m/>
    <x v="0"/>
    <m/>
    <n v="36.394285714285715"/>
    <n v="50952"/>
    <n v="200"/>
    <n v="7"/>
    <n v="1"/>
    <n v="50952"/>
    <s v="Smithland Elementary"/>
    <s v="Fourth Grade Teacher"/>
    <m/>
    <n v="48500"/>
    <n v="56816"/>
    <n v="65132"/>
  </r>
  <r>
    <s v="Zwanzig"/>
    <s v="Adrian"/>
    <n v="11668"/>
    <d v="2009-11-25T00:00:00"/>
    <n v="12.1"/>
    <n v="40142"/>
    <n v="12.1"/>
    <m/>
    <x v="0"/>
    <m/>
    <n v="36.394285714285715"/>
    <n v="50952"/>
    <n v="200"/>
    <n v="7"/>
    <n v="1"/>
    <n v="50952"/>
    <s v="Skyline Middle"/>
    <s v="Math Teacher"/>
    <m/>
    <n v="48500"/>
    <n v="56816"/>
    <n v="6513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PivotTable2" cacheId="0"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location ref="A3:D15" firstHeaderRow="0" firstDataRow="1" firstDataCol="1"/>
  <pivotFields count="22">
    <pivotField showAll="0"/>
    <pivotField showAll="0"/>
    <pivotField showAll="0"/>
    <pivotField numFmtId="14" showAll="0"/>
    <pivotField showAll="0"/>
    <pivotField showAll="0"/>
    <pivotField numFmtId="14" showAll="0"/>
    <pivotField showAll="0"/>
    <pivotField axis="axisRow" showAll="0">
      <items count="12">
        <item x="0"/>
        <item x="9"/>
        <item x="1"/>
        <item x="6"/>
        <item x="2"/>
        <item x="5"/>
        <item x="4"/>
        <item x="8"/>
        <item x="3"/>
        <item x="7"/>
        <item x="10"/>
        <item t="default"/>
      </items>
    </pivotField>
    <pivotField showAll="0"/>
    <pivotField numFmtId="164" showAll="0"/>
    <pivotField dataField="1" numFmtId="164" showAll="0"/>
    <pivotField showAll="0"/>
    <pivotField showAll="0"/>
    <pivotField showAll="0"/>
    <pivotField numFmtId="164" showAll="0"/>
    <pivotField showAll="0"/>
    <pivotField showAll="0"/>
    <pivotField showAll="0"/>
    <pivotField dataField="1" showAll="0"/>
    <pivotField showAll="0"/>
    <pivotField dataField="1" showAll="0"/>
  </pivotFields>
  <rowFields count="1">
    <field x="8"/>
  </rowFields>
  <rowItems count="12">
    <i>
      <x/>
    </i>
    <i>
      <x v="1"/>
    </i>
    <i>
      <x v="2"/>
    </i>
    <i>
      <x v="3"/>
    </i>
    <i>
      <x v="4"/>
    </i>
    <i>
      <x v="5"/>
    </i>
    <i>
      <x v="6"/>
    </i>
    <i>
      <x v="7"/>
    </i>
    <i>
      <x v="8"/>
    </i>
    <i>
      <x v="9"/>
    </i>
    <i>
      <x v="10"/>
    </i>
    <i t="grand">
      <x/>
    </i>
  </rowItems>
  <colFields count="1">
    <field x="-2"/>
  </colFields>
  <colItems count="3">
    <i>
      <x/>
    </i>
    <i i="1">
      <x v="1"/>
    </i>
    <i i="2">
      <x v="2"/>
    </i>
  </colItems>
  <dataFields count="3">
    <dataField name="Average of Current Minimum" fld="19" subtotal="average" baseField="8" baseItem="0"/>
    <dataField name="Average of Current Maximum" fld="21" subtotal="average" baseField="8" baseItem="0"/>
    <dataField name="Average of Annual Salary" fld="11" subtotal="average" baseField="8" baseItem="1"/>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PivotTable1" cacheId="2" applyNumberFormats="0" applyBorderFormats="0" applyFontFormats="0" applyPatternFormats="0" applyAlignmentFormats="0" applyWidthHeightFormats="1" dataCaption="Values" updatedVersion="7" minRefreshableVersion="3" useAutoFormatting="1" itemPrintTitles="1" createdVersion="7" indent="0" outline="1" outlineData="1" fieldListSortAscending="1">
  <location ref="A3:D11" firstHeaderRow="0" firstDataRow="1" firstDataCol="1"/>
  <pivotFields count="22">
    <pivotField showAll="0"/>
    <pivotField showAll="0"/>
    <pivotField showAll="0"/>
    <pivotField numFmtId="14" showAll="0"/>
    <pivotField numFmtId="2" showAll="0"/>
    <pivotField showAll="0"/>
    <pivotField numFmtId="165" showAll="0"/>
    <pivotField showAll="0"/>
    <pivotField axis="axisRow" dataField="1" showAll="0">
      <items count="9">
        <item x="5"/>
        <item x="6"/>
        <item x="1"/>
        <item x="4"/>
        <item x="3"/>
        <item m="1" x="7"/>
        <item x="0"/>
        <item x="2"/>
        <item t="default"/>
      </items>
    </pivotField>
    <pivotField showAll="0"/>
    <pivotField showAll="0"/>
    <pivotField showAll="0"/>
    <pivotField showAll="0"/>
    <pivotField showAll="0"/>
    <pivotField showAll="0"/>
    <pivotField numFmtId="164" showAll="0"/>
    <pivotField showAll="0"/>
    <pivotField showAll="0"/>
    <pivotField showAll="0"/>
    <pivotField dataField="1" numFmtId="164" showAll="0"/>
    <pivotField numFmtId="164" showAll="0"/>
    <pivotField dataField="1" numFmtId="164" showAll="0"/>
  </pivotFields>
  <rowFields count="1">
    <field x="8"/>
  </rowFields>
  <rowItems count="8">
    <i>
      <x/>
    </i>
    <i>
      <x v="1"/>
    </i>
    <i>
      <x v="2"/>
    </i>
    <i>
      <x v="3"/>
    </i>
    <i>
      <x v="4"/>
    </i>
    <i>
      <x v="6"/>
    </i>
    <i>
      <x v="7"/>
    </i>
    <i t="grand">
      <x/>
    </i>
  </rowItems>
  <colFields count="1">
    <field x="-2"/>
  </colFields>
  <colItems count="3">
    <i>
      <x/>
    </i>
    <i i="1">
      <x v="1"/>
    </i>
    <i i="2">
      <x v="2"/>
    </i>
  </colItems>
  <dataFields count="3">
    <dataField name="Average of Current Minimum" fld="19" subtotal="average" baseField="8" baseItem="0"/>
    <dataField name="Average of Current Maximum" fld="21" subtotal="average" baseField="8" baseItem="0"/>
    <dataField name="Count of Pay Grade" fld="8" subtotal="count" baseField="0" baseItem="0"/>
  </dataFields>
  <formats count="2">
    <format dxfId="7">
      <pivotArea collapsedLevelsAreSubtotals="1" fieldPosition="0">
        <references count="1">
          <reference field="8" count="0"/>
        </references>
      </pivotArea>
    </format>
    <format dxfId="6">
      <pivotArea collapsedLevelsAreSubtotals="1" fieldPosition="0">
        <references count="2">
          <reference field="4294967294" count="1" selected="0">
            <x v="2"/>
          </reference>
          <reference field="8"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name="PivotTable3" cacheId="1" applyNumberFormats="0" applyBorderFormats="0" applyFontFormats="0" applyPatternFormats="0" applyAlignmentFormats="0" applyWidthHeightFormats="1" dataCaption="Values" updatedVersion="7" minRefreshableVersion="3" useAutoFormatting="1" itemPrintTitles="1" createdVersion="7" indent="0" outline="1" outlineData="1" fieldListSortAscending="1">
  <location ref="A3:D42" firstHeaderRow="0" firstDataRow="1" firstDataCol="1"/>
  <pivotFields count="22">
    <pivotField showAll="0"/>
    <pivotField showAll="0"/>
    <pivotField showAll="0"/>
    <pivotField showAll="0"/>
    <pivotField showAll="0"/>
    <pivotField showAll="0"/>
    <pivotField showAll="0"/>
    <pivotField showAll="0"/>
    <pivotField axis="axisRow" dataField="1" showAll="0">
      <items count="39">
        <item x="34"/>
        <item x="7"/>
        <item x="16"/>
        <item x="23"/>
        <item x="20"/>
        <item x="27"/>
        <item x="12"/>
        <item x="30"/>
        <item x="0"/>
        <item x="4"/>
        <item x="8"/>
        <item x="14"/>
        <item x="25"/>
        <item x="19"/>
        <item x="10"/>
        <item x="33"/>
        <item x="18"/>
        <item x="24"/>
        <item x="28"/>
        <item x="17"/>
        <item x="1"/>
        <item x="31"/>
        <item x="32"/>
        <item x="36"/>
        <item x="22"/>
        <item x="11"/>
        <item x="2"/>
        <item x="21"/>
        <item x="6"/>
        <item x="35"/>
        <item x="26"/>
        <item x="13"/>
        <item x="9"/>
        <item x="3"/>
        <item x="5"/>
        <item x="15"/>
        <item x="29"/>
        <item x="37"/>
        <item t="default"/>
      </items>
    </pivotField>
    <pivotField showAll="0"/>
    <pivotField showAll="0"/>
    <pivotField numFmtId="164" showAll="0"/>
    <pivotField showAll="0"/>
    <pivotField showAll="0"/>
    <pivotField showAll="0"/>
    <pivotField numFmtId="164" showAll="0"/>
    <pivotField showAll="0"/>
    <pivotField showAll="0"/>
    <pivotField showAll="0"/>
    <pivotField dataField="1" showAll="0"/>
    <pivotField showAll="0"/>
    <pivotField dataField="1" showAll="0"/>
  </pivotFields>
  <rowFields count="1">
    <field x="8"/>
  </rowFields>
  <rowItems count="39">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t="grand">
      <x/>
    </i>
  </rowItems>
  <colFields count="1">
    <field x="-2"/>
  </colFields>
  <colItems count="3">
    <i>
      <x/>
    </i>
    <i i="1">
      <x v="1"/>
    </i>
    <i i="2">
      <x v="2"/>
    </i>
  </colItems>
  <dataFields count="3">
    <dataField name="Average of Current Minimum" fld="19" subtotal="average" baseField="8" baseItem="0" numFmtId="164"/>
    <dataField name="Average of Current Maximum" fld="21" subtotal="average" baseField="8" baseItem="0" numFmtId="164"/>
    <dataField name="Count of Pay Grade" fld="8" subtotal="count" baseField="0" baseItem="0"/>
  </dataFields>
  <formats count="5">
    <format dxfId="5">
      <pivotArea outline="0" collapsedLevelsAreSubtotals="1" fieldPosition="0">
        <references count="1">
          <reference field="4294967294" count="2" selected="0">
            <x v="0"/>
            <x v="1"/>
          </reference>
        </references>
      </pivotArea>
    </format>
    <format dxfId="4">
      <pivotArea collapsedLevelsAreSubtotals="1" fieldPosition="0">
        <references count="1">
          <reference field="8" count="2">
            <x v="0"/>
            <x v="1"/>
          </reference>
        </references>
      </pivotArea>
    </format>
    <format dxfId="3">
      <pivotArea dataOnly="0" labelOnly="1" fieldPosition="0">
        <references count="1">
          <reference field="8" count="2">
            <x v="0"/>
            <x v="1"/>
          </reference>
        </references>
      </pivotArea>
    </format>
    <format dxfId="2">
      <pivotArea collapsedLevelsAreSubtotals="1" fieldPosition="0">
        <references count="1">
          <reference field="8" count="5">
            <x v="0"/>
            <x v="1"/>
            <x v="2"/>
            <x v="3"/>
            <x v="4"/>
          </reference>
        </references>
      </pivotArea>
    </format>
    <format dxfId="1">
      <pivotArea dataOnly="0" labelOnly="1" fieldPosition="0">
        <references count="1">
          <reference field="8" count="5">
            <x v="0"/>
            <x v="1"/>
            <x v="2"/>
            <x v="3"/>
            <x v="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3.xml"/></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K59"/>
  <sheetViews>
    <sheetView workbookViewId="0"/>
  </sheetViews>
  <sheetFormatPr defaultRowHeight="15" x14ac:dyDescent="0.25"/>
  <cols>
    <col min="1" max="1" width="34.85546875" bestFit="1" customWidth="1"/>
    <col min="2" max="2" width="27.42578125" bestFit="1" customWidth="1"/>
    <col min="3" max="3" width="27.7109375" bestFit="1" customWidth="1"/>
    <col min="4" max="4" width="23.42578125" bestFit="1" customWidth="1"/>
    <col min="5" max="5" width="31.140625" bestFit="1" customWidth="1"/>
    <col min="6" max="7" width="27.5703125" bestFit="1" customWidth="1"/>
    <col min="8" max="8" width="23.42578125" bestFit="1" customWidth="1"/>
    <col min="9" max="9" width="25.85546875" customWidth="1"/>
    <col min="10" max="10" width="14.28515625" customWidth="1"/>
    <col min="11" max="11" width="12" customWidth="1"/>
    <col min="12" max="12" width="27.42578125" bestFit="1" customWidth="1"/>
  </cols>
  <sheetData>
    <row r="3" spans="1:10" x14ac:dyDescent="0.25">
      <c r="A3" s="20" t="s">
        <v>272</v>
      </c>
      <c r="B3" t="s">
        <v>273</v>
      </c>
      <c r="C3" t="s">
        <v>274</v>
      </c>
      <c r="D3" t="s">
        <v>286</v>
      </c>
      <c r="F3" s="99"/>
      <c r="G3" s="99" t="s">
        <v>295</v>
      </c>
      <c r="H3" s="99" t="s">
        <v>319</v>
      </c>
      <c r="I3" s="99" t="s">
        <v>296</v>
      </c>
      <c r="J3" s="99" t="s">
        <v>297</v>
      </c>
    </row>
    <row r="4" spans="1:10" x14ac:dyDescent="0.25">
      <c r="A4" s="21" t="s">
        <v>131</v>
      </c>
      <c r="B4" s="22">
        <v>53350</v>
      </c>
      <c r="C4" s="22">
        <v>71645.2</v>
      </c>
      <c r="D4" s="22">
        <v>54285</v>
      </c>
      <c r="E4" s="22"/>
      <c r="F4" s="97" t="s">
        <v>131</v>
      </c>
      <c r="G4" s="3" t="str">
        <f>IFERROR(INDEX('Market Results'!$B:$B,MATCH(A4,'Market Results'!A:A,0)),"-")</f>
        <v>-</v>
      </c>
      <c r="H4" s="3"/>
      <c r="I4" s="3"/>
      <c r="J4" s="2"/>
    </row>
    <row r="5" spans="1:10" x14ac:dyDescent="0.25">
      <c r="A5" s="21" t="s">
        <v>136</v>
      </c>
      <c r="B5" s="22">
        <v>104790</v>
      </c>
      <c r="C5" s="22">
        <v>145279</v>
      </c>
      <c r="D5" s="22">
        <v>144836.75</v>
      </c>
      <c r="E5" s="22"/>
      <c r="F5" s="97" t="s">
        <v>136</v>
      </c>
      <c r="G5" s="3" t="str">
        <f>IFERROR(INDEX('Market Results'!$B:$B,MATCH(A5,'Market Results'!A:A,0)),"-")</f>
        <v>-</v>
      </c>
      <c r="H5" s="3"/>
      <c r="I5" s="3"/>
      <c r="J5" s="2"/>
    </row>
    <row r="6" spans="1:10" x14ac:dyDescent="0.25">
      <c r="A6" s="21" t="s">
        <v>137</v>
      </c>
      <c r="B6" s="22">
        <v>65032.800000000003</v>
      </c>
      <c r="C6" s="22">
        <v>88187.199999999997</v>
      </c>
      <c r="D6" s="22">
        <v>66642</v>
      </c>
      <c r="E6" s="22"/>
      <c r="F6" s="97" t="s">
        <v>137</v>
      </c>
      <c r="G6" s="3" t="str">
        <f>IFERROR(INDEX('Market Results'!$B:$B,MATCH(A6,'Market Results'!A:A,0)),"-")</f>
        <v>-</v>
      </c>
      <c r="H6" s="3"/>
      <c r="I6" s="3"/>
      <c r="J6" s="2"/>
    </row>
    <row r="7" spans="1:10" x14ac:dyDescent="0.25">
      <c r="A7" s="21" t="s">
        <v>124</v>
      </c>
      <c r="B7" s="22">
        <v>91321</v>
      </c>
      <c r="C7" s="22">
        <v>133219</v>
      </c>
      <c r="D7" s="22">
        <v>110459.6</v>
      </c>
      <c r="E7" s="22"/>
      <c r="F7" s="97" t="s">
        <v>124</v>
      </c>
      <c r="G7" s="3" t="str">
        <f>IFERROR(INDEX('Market Results'!$B:$B,MATCH(A7,'Market Results'!A:A,0)),"-")</f>
        <v>-</v>
      </c>
      <c r="H7" s="3"/>
      <c r="I7" s="3"/>
      <c r="J7" s="2"/>
    </row>
    <row r="8" spans="1:10" x14ac:dyDescent="0.25">
      <c r="A8" s="21" t="s">
        <v>139</v>
      </c>
      <c r="B8" s="22">
        <v>72151</v>
      </c>
      <c r="C8" s="22">
        <v>99521</v>
      </c>
      <c r="D8" s="22">
        <v>79982.666666666672</v>
      </c>
      <c r="E8" s="22"/>
      <c r="F8" s="97" t="s">
        <v>139</v>
      </c>
      <c r="G8" s="4">
        <f>IFERROR(INDEX('Market Results'!$B:$B,MATCH(A8,'Market Results'!A:A,0)),"-")</f>
        <v>71521.989787841376</v>
      </c>
      <c r="H8" s="43">
        <f>(INDEX($B$4:B14,MATCH(F8,A4:$A$14,0))-G8)/INDEX($B$4:B14,MATCH(F8,A4:$A$14,0))</f>
        <v>8.717969427431695E-3</v>
      </c>
      <c r="I8" s="4">
        <f>IFERROR(INDEX('Market Results'!$F:$F,MATCH(A8,'Market Results'!A:A,0)),"-")</f>
        <v>108715.74573764483</v>
      </c>
      <c r="J8" s="43">
        <f>(GETPIVOTDATA("Average of Annual Salary",$A$3,"Pay Grade","Elementary School Assistant Principal")-I8)/GETPIVOTDATA("Average of Annual Salary",$A$3,"Pay Grade","Elementary School Assistant Principal")</f>
        <v>-0.35924132400742859</v>
      </c>
    </row>
    <row r="9" spans="1:10" x14ac:dyDescent="0.25">
      <c r="A9" s="21" t="s">
        <v>140</v>
      </c>
      <c r="B9" s="22">
        <v>86254</v>
      </c>
      <c r="C9" s="22">
        <v>118608</v>
      </c>
      <c r="D9" s="22">
        <v>96761.666666666672</v>
      </c>
      <c r="E9" s="22"/>
      <c r="F9" s="97" t="s">
        <v>140</v>
      </c>
      <c r="G9" s="4">
        <f>IFERROR(INDEX('Market Results'!$B:$B,MATCH(A9,'Market Results'!A:A,0)),"-")</f>
        <v>85166.386001860708</v>
      </c>
      <c r="H9" s="43">
        <f>(INDEX($B$4:B15,MATCH(F9,A5:$A$14,0))-G9)/INDEX($B$4:B15,MATCH(F9,A5:$A$14,0))</f>
        <v>-0.18039093015842758</v>
      </c>
      <c r="I9" s="4">
        <f>IFERROR(INDEX('Market Results'!$F:$F,MATCH(A9,'Market Results'!A:A,0)),"-")</f>
        <v>127789.71518899457</v>
      </c>
      <c r="J9" s="43">
        <f t="shared" ref="J9:J13" si="0">(GETPIVOTDATA("Average of Annual Salary",$A$3,"Pay Grade","Elementary School Assistant Principal")-I9)/GETPIVOTDATA("Average of Annual Salary",$A$3,"Pay Grade","Elementary School Assistant Principal")</f>
        <v>-0.59771761201170115</v>
      </c>
    </row>
    <row r="10" spans="1:10" x14ac:dyDescent="0.25">
      <c r="A10" s="21" t="s">
        <v>144</v>
      </c>
      <c r="B10" s="22">
        <v>81291</v>
      </c>
      <c r="C10" s="22">
        <v>110234</v>
      </c>
      <c r="D10" s="22">
        <v>85710</v>
      </c>
      <c r="E10" s="22"/>
      <c r="F10" s="97" t="s">
        <v>144</v>
      </c>
      <c r="G10" s="4">
        <f>IFERROR(INDEX('Market Results'!$B:$B,MATCH(A10,'Market Results'!A:A,0)),"-")</f>
        <v>84789.170035374787</v>
      </c>
      <c r="H10" s="43">
        <f>(INDEX($B$4:B16,MATCH(F10,A6:$A$14,0))-G10)/INDEX($B$4:B16,MATCH(F10,A6:$A$14,0))</f>
        <v>-0.17516278409689107</v>
      </c>
      <c r="I10" s="4">
        <f>IFERROR(INDEX('Market Results'!$F:$F,MATCH(A10,'Market Results'!A:A,0)),"-")</f>
        <v>120155.84553194053</v>
      </c>
      <c r="J10" s="43">
        <f t="shared" si="0"/>
        <v>-0.50227356175430338</v>
      </c>
    </row>
    <row r="11" spans="1:10" x14ac:dyDescent="0.25">
      <c r="A11" s="21" t="s">
        <v>145</v>
      </c>
      <c r="B11" s="22">
        <v>99820</v>
      </c>
      <c r="C11" s="22">
        <v>133219</v>
      </c>
      <c r="D11" s="22">
        <v>133219</v>
      </c>
      <c r="E11" s="22"/>
      <c r="F11" s="97" t="s">
        <v>145</v>
      </c>
      <c r="G11" s="4">
        <f>IFERROR(INDEX('Market Results'!$B:$B,MATCH(A11,'Market Results'!A:A,0)),"-")</f>
        <v>100176.47297082502</v>
      </c>
      <c r="H11" s="43">
        <f>(INDEX($B$4:B17,MATCH(F11,A7:$A$14,0))-G11)/INDEX($B$4:B17,MATCH(F11,A7:$A$14,0))</f>
        <v>-0.38842806019078074</v>
      </c>
      <c r="I11" s="4">
        <f>IFERROR(INDEX('Market Results'!$F:$F,MATCH(A11,'Market Results'!A:A,0)),"-")</f>
        <v>147974.64469208036</v>
      </c>
      <c r="J11" s="43">
        <f t="shared" si="0"/>
        <v>-0.85008391016487339</v>
      </c>
    </row>
    <row r="12" spans="1:10" x14ac:dyDescent="0.25">
      <c r="A12" s="21" t="s">
        <v>149</v>
      </c>
      <c r="B12" s="22">
        <v>77613</v>
      </c>
      <c r="C12" s="22">
        <v>105982</v>
      </c>
      <c r="D12" s="22">
        <v>90957.75</v>
      </c>
      <c r="E12" s="22"/>
      <c r="F12" s="97" t="s">
        <v>149</v>
      </c>
      <c r="G12" s="4">
        <f>IFERROR(INDEX('Market Results'!$B:$B,MATCH(A12,'Market Results'!A:A,0)),"-")</f>
        <v>77001.657696549606</v>
      </c>
      <c r="H12" s="43">
        <f>(INDEX($B$4:B18,MATCH(F12,A8:$A$14,0))-G12)/INDEX($B$4:B18,MATCH(F12,A8:$A$14,0))</f>
        <v>-6.7229251106008317E-2</v>
      </c>
      <c r="I12" s="4">
        <f>IFERROR(INDEX('Market Results'!$F:$F,MATCH(A12,'Market Results'!A:A,0)),"-")</f>
        <v>109605.93201831605</v>
      </c>
      <c r="J12" s="43">
        <f t="shared" si="0"/>
        <v>-0.37037106395947506</v>
      </c>
    </row>
    <row r="13" spans="1:10" x14ac:dyDescent="0.25">
      <c r="A13" s="21" t="s">
        <v>150</v>
      </c>
      <c r="B13" s="22">
        <v>91321</v>
      </c>
      <c r="C13" s="22">
        <v>128404</v>
      </c>
      <c r="D13" s="22">
        <v>111228</v>
      </c>
      <c r="E13" s="22"/>
      <c r="F13" s="97" t="s">
        <v>150</v>
      </c>
      <c r="G13" s="4">
        <f>IFERROR(INDEX('Market Results'!$B:$B,MATCH(A13,'Market Results'!A:A,0)),"-")</f>
        <v>85092.603052870327</v>
      </c>
      <c r="H13" s="43">
        <f>(INDEX($B$4:B19,MATCH(F13,A9:$A$14,0))-G13)/INDEX($B$4:B19,MATCH(F13,A9:$A$14,0))</f>
        <v>-0.17936831163629507</v>
      </c>
      <c r="I13" s="4">
        <f>IFERROR(INDEX('Market Results'!$F:$F,MATCH(A13,'Market Results'!A:A,0)),"-")</f>
        <v>126290.89117483939</v>
      </c>
      <c r="J13" s="43">
        <f t="shared" si="0"/>
        <v>-0.57897825164001426</v>
      </c>
    </row>
    <row r="14" spans="1:10" x14ac:dyDescent="0.25">
      <c r="A14" s="21" t="s">
        <v>275</v>
      </c>
      <c r="B14" s="22"/>
      <c r="C14" s="22"/>
      <c r="D14" s="22">
        <v>109002.33333333333</v>
      </c>
      <c r="E14" s="22"/>
      <c r="F14" s="100" t="s">
        <v>254</v>
      </c>
      <c r="G14" s="101" t="str">
        <f>IFERROR(INDEX('Market Results'!$B:$B,MATCH(A14,'Market Results'!A:A,0)),"-")</f>
        <v>-</v>
      </c>
      <c r="H14" s="102">
        <f>AVERAGE(H8:H13)</f>
        <v>-0.16364356129349519</v>
      </c>
      <c r="I14" s="101" t="str">
        <f>IFERROR(INDEX('Market Results'!$F:$F,MATCH(A14,'Market Results'!A:A,0)),"-")</f>
        <v>-</v>
      </c>
      <c r="J14" s="103">
        <f>AVERAGE(J8:J13)</f>
        <v>-0.54311095392296604</v>
      </c>
    </row>
    <row r="15" spans="1:10" x14ac:dyDescent="0.25">
      <c r="A15" s="21" t="s">
        <v>271</v>
      </c>
      <c r="B15" s="22">
        <v>85109.251282051278</v>
      </c>
      <c r="C15" s="22">
        <v>118892.39487179488</v>
      </c>
      <c r="D15" s="22">
        <v>101302.11904761905</v>
      </c>
      <c r="E15" s="22"/>
      <c r="F15" s="22"/>
    </row>
    <row r="16" spans="1:10" ht="15.75" thickBot="1" x14ac:dyDescent="0.3"/>
    <row r="17" spans="1:11" x14ac:dyDescent="0.25">
      <c r="A17" s="35" t="s">
        <v>276</v>
      </c>
      <c r="B17" s="36" t="s">
        <v>279</v>
      </c>
      <c r="C17" s="28" t="s">
        <v>288</v>
      </c>
      <c r="D17" s="28" t="s">
        <v>273</v>
      </c>
      <c r="E17" s="31" t="s">
        <v>281</v>
      </c>
      <c r="F17" s="29" t="s">
        <v>282</v>
      </c>
      <c r="G17" s="28" t="s">
        <v>274</v>
      </c>
      <c r="H17" s="31" t="s">
        <v>280</v>
      </c>
      <c r="I17" s="29" t="s">
        <v>283</v>
      </c>
      <c r="K17" s="32" t="s">
        <v>262</v>
      </c>
    </row>
    <row r="18" spans="1:11" x14ac:dyDescent="0.25">
      <c r="A18" s="45" t="s">
        <v>131</v>
      </c>
      <c r="B18" s="2" t="e">
        <f>INDEX(#REF!,MATCH(A18,#REF!,0))</f>
        <v>#REF!</v>
      </c>
      <c r="C18" s="46" t="e">
        <f>AVERAGEIF(#REF!,A18,#REF!)</f>
        <v>#REF!</v>
      </c>
      <c r="D18" s="46" t="str">
        <f t="shared" ref="D18:D36" si="1">IFERROR(INDEX($B$4:$B$14,MATCH(B18,$A$4:$A$14,0)),"-")</f>
        <v>-</v>
      </c>
      <c r="E18" s="4" t="str">
        <f>IFERROR(INDEX('Market Results'!$B:$B,MATCH(A18,'Market Results'!A:A,0)),"-")</f>
        <v>-</v>
      </c>
      <c r="F18" s="47" t="str">
        <f t="shared" ref="F18:F43" si="2">IFERROR((D18-E18)/D18,"-")</f>
        <v>-</v>
      </c>
      <c r="G18" s="46" t="str">
        <f t="shared" ref="G18:G36" si="3">IFERROR(INDEX($C$4:$C$14,MATCH(B18,$A$4:$A$14,0)),"-")</f>
        <v>-</v>
      </c>
      <c r="H18" s="4" t="str">
        <f>IFERROR(INDEX('Market Results'!$F:$F,MATCH(A18,'Market Results'!A:A,0)),"-")</f>
        <v>-</v>
      </c>
      <c r="I18" s="48" t="str">
        <f>IFERROR((G18-H18)/G18,"-")</f>
        <v>-</v>
      </c>
      <c r="K18" s="62" t="str">
        <f>IFERROR((G18-D18)/D18,"-")</f>
        <v>-</v>
      </c>
    </row>
    <row r="19" spans="1:11" x14ac:dyDescent="0.25">
      <c r="A19" s="45" t="s">
        <v>137</v>
      </c>
      <c r="B19" s="2" t="e">
        <f>INDEX(#REF!,MATCH(A19,#REF!,0))</f>
        <v>#REF!</v>
      </c>
      <c r="C19" s="46" t="e">
        <f>AVERAGEIF(#REF!,A19,#REF!)</f>
        <v>#REF!</v>
      </c>
      <c r="D19" s="46" t="str">
        <f t="shared" si="1"/>
        <v>-</v>
      </c>
      <c r="E19" s="4" t="str">
        <f>IFERROR(INDEX('Market Results'!$B:$B,MATCH(A19,'Market Results'!A:A,0)),"-")</f>
        <v>-</v>
      </c>
      <c r="F19" s="47" t="str">
        <f t="shared" si="2"/>
        <v>-</v>
      </c>
      <c r="G19" s="46" t="str">
        <f t="shared" si="3"/>
        <v>-</v>
      </c>
      <c r="H19" s="4" t="str">
        <f>IFERROR(INDEX('Market Results'!$F:$F,MATCH(A19,'Market Results'!A:A,0)),"-")</f>
        <v>-</v>
      </c>
      <c r="I19" s="48" t="str">
        <f t="shared" ref="I19:I43" si="4">IFERROR((G19-H19)/G19,"-")</f>
        <v>-</v>
      </c>
      <c r="K19" s="62" t="str">
        <f t="shared" ref="K19:K43" si="5">IFERROR((G19-D19)/D19,"-")</f>
        <v>-</v>
      </c>
    </row>
    <row r="20" spans="1:11" x14ac:dyDescent="0.25">
      <c r="A20" s="45" t="s">
        <v>117</v>
      </c>
      <c r="B20" s="2" t="e">
        <f>INDEX(#REF!,MATCH(A20,#REF!,0))</f>
        <v>#REF!</v>
      </c>
      <c r="C20" s="46" t="e">
        <f>AVERAGEIF(#REF!,A20,#REF!)</f>
        <v>#REF!</v>
      </c>
      <c r="D20" s="46" t="str">
        <f t="shared" si="1"/>
        <v>-</v>
      </c>
      <c r="E20" s="4" t="str">
        <f>IFERROR(INDEX('Market Results'!$B:$B,MATCH(A20,'Market Results'!A:A,0)),"-")</f>
        <v>-</v>
      </c>
      <c r="F20" s="47" t="str">
        <f t="shared" si="2"/>
        <v>-</v>
      </c>
      <c r="G20" s="46" t="str">
        <f t="shared" si="3"/>
        <v>-</v>
      </c>
      <c r="H20" s="4" t="str">
        <f>IFERROR(INDEX('Market Results'!$F:$F,MATCH(A20,'Market Results'!A:A,0)),"-")</f>
        <v>-</v>
      </c>
      <c r="I20" s="48" t="str">
        <f t="shared" si="4"/>
        <v>-</v>
      </c>
      <c r="K20" s="62" t="str">
        <f t="shared" si="5"/>
        <v>-</v>
      </c>
    </row>
    <row r="21" spans="1:11" x14ac:dyDescent="0.25">
      <c r="A21" s="45" t="s">
        <v>215</v>
      </c>
      <c r="B21" s="2" t="e">
        <f>INDEX(#REF!,MATCH(A21,#REF!,0))</f>
        <v>#REF!</v>
      </c>
      <c r="C21" s="46" t="e">
        <f>AVERAGEIF(#REF!,A21,#REF!)</f>
        <v>#REF!</v>
      </c>
      <c r="D21" s="46" t="str">
        <f t="shared" si="1"/>
        <v>-</v>
      </c>
      <c r="E21" s="4">
        <f>IFERROR(INDEX('Market Results'!$B:$B,MATCH(A21,'Market Results'!A:A,0)),"-")</f>
        <v>96684.441881163584</v>
      </c>
      <c r="F21" s="47" t="str">
        <f t="shared" si="2"/>
        <v>-</v>
      </c>
      <c r="G21" s="46" t="str">
        <f t="shared" si="3"/>
        <v>-</v>
      </c>
      <c r="H21" s="4">
        <f>IFERROR(INDEX('Market Results'!$F:$F,MATCH(A21,'Market Results'!A:A,0)),"-")</f>
        <v>145513.69528756323</v>
      </c>
      <c r="I21" s="48" t="str">
        <f t="shared" si="4"/>
        <v>-</v>
      </c>
      <c r="K21" s="62" t="str">
        <f t="shared" si="5"/>
        <v>-</v>
      </c>
    </row>
    <row r="22" spans="1:11" x14ac:dyDescent="0.25">
      <c r="A22" s="45" t="s">
        <v>216</v>
      </c>
      <c r="B22" s="2" t="e">
        <f>INDEX(#REF!,MATCH(A22,#REF!,0))</f>
        <v>#REF!</v>
      </c>
      <c r="C22" s="46" t="e">
        <f>AVERAGEIF(#REF!,A22,#REF!)</f>
        <v>#REF!</v>
      </c>
      <c r="D22" s="46" t="str">
        <f t="shared" si="1"/>
        <v>-</v>
      </c>
      <c r="E22" s="4">
        <f>IFERROR(INDEX('Market Results'!$B:$B,MATCH(A22,'Market Results'!A:A,0)),"-")</f>
        <v>93399.677266462051</v>
      </c>
      <c r="F22" s="47" t="str">
        <f t="shared" si="2"/>
        <v>-</v>
      </c>
      <c r="G22" s="46" t="str">
        <f t="shared" si="3"/>
        <v>-</v>
      </c>
      <c r="H22" s="4">
        <f>IFERROR(INDEX('Market Results'!$F:$F,MATCH(A22,'Market Results'!A:A,0)),"-")</f>
        <v>129262.87482830101</v>
      </c>
      <c r="I22" s="48" t="str">
        <f t="shared" si="4"/>
        <v>-</v>
      </c>
      <c r="K22" s="62" t="str">
        <f t="shared" si="5"/>
        <v>-</v>
      </c>
    </row>
    <row r="23" spans="1:11" x14ac:dyDescent="0.25">
      <c r="A23" s="45" t="s">
        <v>217</v>
      </c>
      <c r="B23" s="2" t="e">
        <f>INDEX(#REF!,MATCH(A23,#REF!,0))</f>
        <v>#REF!</v>
      </c>
      <c r="C23" s="46" t="e">
        <f>AVERAGEIF(#REF!,A23,#REF!)</f>
        <v>#REF!</v>
      </c>
      <c r="D23" s="46" t="str">
        <f t="shared" si="1"/>
        <v>-</v>
      </c>
      <c r="E23" s="4">
        <f>IFERROR(INDEX('Market Results'!$B:$B,MATCH(A23,'Market Results'!A:A,0)),"-")</f>
        <v>83792.061649945652</v>
      </c>
      <c r="F23" s="47" t="str">
        <f t="shared" si="2"/>
        <v>-</v>
      </c>
      <c r="G23" s="46" t="str">
        <f t="shared" si="3"/>
        <v>-</v>
      </c>
      <c r="H23" s="4">
        <f>IFERROR(INDEX('Market Results'!$F:$F,MATCH(A23,'Market Results'!A:A,0)),"-")</f>
        <v>121462.96846558311</v>
      </c>
      <c r="I23" s="48" t="str">
        <f t="shared" si="4"/>
        <v>-</v>
      </c>
      <c r="K23" s="62" t="str">
        <f t="shared" si="5"/>
        <v>-</v>
      </c>
    </row>
    <row r="24" spans="1:11" x14ac:dyDescent="0.25">
      <c r="A24" s="45" t="s">
        <v>221</v>
      </c>
      <c r="B24" s="2" t="e">
        <f>INDEX(#REF!,MATCH(A24,#REF!,0))</f>
        <v>#REF!</v>
      </c>
      <c r="C24" s="46" t="e">
        <f>AVERAGEIF(#REF!,A24,#REF!)</f>
        <v>#REF!</v>
      </c>
      <c r="D24" s="46" t="str">
        <f t="shared" si="1"/>
        <v>-</v>
      </c>
      <c r="E24" s="4" t="str">
        <f>IFERROR(INDEX('Market Results'!$B:$B,MATCH(A24,'Market Results'!A:A,0)),"-")</f>
        <v>-</v>
      </c>
      <c r="F24" s="47" t="str">
        <f t="shared" si="2"/>
        <v>-</v>
      </c>
      <c r="G24" s="46" t="str">
        <f t="shared" si="3"/>
        <v>-</v>
      </c>
      <c r="H24" s="4" t="str">
        <f>IFERROR(INDEX('Market Results'!$F:$F,MATCH(A24,'Market Results'!A:A,0)),"-")</f>
        <v>-</v>
      </c>
      <c r="I24" s="48" t="str">
        <f t="shared" si="4"/>
        <v>-</v>
      </c>
      <c r="K24" s="62" t="str">
        <f t="shared" si="5"/>
        <v>-</v>
      </c>
    </row>
    <row r="25" spans="1:11" x14ac:dyDescent="0.25">
      <c r="A25" s="45" t="s">
        <v>46</v>
      </c>
      <c r="B25" s="2" t="e">
        <f>INDEX(#REF!,MATCH(A25,#REF!,0))</f>
        <v>#REF!</v>
      </c>
      <c r="C25" s="46" t="e">
        <f>AVERAGEIF(#REF!,A25,#REF!)</f>
        <v>#REF!</v>
      </c>
      <c r="D25" s="46" t="str">
        <f t="shared" si="1"/>
        <v>-</v>
      </c>
      <c r="E25" s="4">
        <f>IFERROR(INDEX('Market Results'!$B:$B,MATCH(A25,'Market Results'!A:A,0)),"-")</f>
        <v>101034.01495600346</v>
      </c>
      <c r="F25" s="47" t="str">
        <f t="shared" si="2"/>
        <v>-</v>
      </c>
      <c r="G25" s="46" t="str">
        <f t="shared" si="3"/>
        <v>-</v>
      </c>
      <c r="H25" s="4">
        <f>IFERROR(INDEX('Market Results'!$F:$F,MATCH(A25,'Market Results'!A:A,0)),"-")</f>
        <v>141041.81596099923</v>
      </c>
      <c r="I25" s="48" t="str">
        <f t="shared" si="4"/>
        <v>-</v>
      </c>
      <c r="K25" s="62" t="str">
        <f t="shared" si="5"/>
        <v>-</v>
      </c>
    </row>
    <row r="26" spans="1:11" x14ac:dyDescent="0.25">
      <c r="A26" s="45" t="s">
        <v>62</v>
      </c>
      <c r="B26" s="2" t="e">
        <f>INDEX(#REF!,MATCH(A26,#REF!,0))</f>
        <v>#REF!</v>
      </c>
      <c r="C26" s="46" t="e">
        <f>AVERAGEIF(#REF!,A26,#REF!)</f>
        <v>#REF!</v>
      </c>
      <c r="D26" s="46" t="str">
        <f t="shared" si="1"/>
        <v>-</v>
      </c>
      <c r="E26" s="4">
        <f>IFERROR(INDEX('Market Results'!$B:$B,MATCH(A26,'Market Results'!A:A,0)),"-")</f>
        <v>87820.308450500117</v>
      </c>
      <c r="F26" s="47" t="str">
        <f t="shared" si="2"/>
        <v>-</v>
      </c>
      <c r="G26" s="46" t="str">
        <f t="shared" si="3"/>
        <v>-</v>
      </c>
      <c r="H26" s="4">
        <f>IFERROR(INDEX('Market Results'!$F:$F,MATCH(A26,'Market Results'!A:A,0)),"-")</f>
        <v>129747.36916898943</v>
      </c>
      <c r="I26" s="48" t="str">
        <f t="shared" si="4"/>
        <v>-</v>
      </c>
      <c r="K26" s="62" t="str">
        <f t="shared" si="5"/>
        <v>-</v>
      </c>
    </row>
    <row r="27" spans="1:11" x14ac:dyDescent="0.25">
      <c r="A27" s="45" t="s">
        <v>64</v>
      </c>
      <c r="B27" s="2" t="e">
        <f>INDEX(#REF!,MATCH(A27,#REF!,0))</f>
        <v>#REF!</v>
      </c>
      <c r="C27" s="46" t="e">
        <f>AVERAGEIF(#REF!,A27,#REF!)</f>
        <v>#REF!</v>
      </c>
      <c r="D27" s="46" t="str">
        <f t="shared" si="1"/>
        <v>-</v>
      </c>
      <c r="E27" s="4" t="str">
        <f>IFERROR(INDEX('Market Results'!$B:$B,MATCH(A27,'Market Results'!A:A,0)),"-")</f>
        <v>-</v>
      </c>
      <c r="F27" s="47" t="str">
        <f t="shared" si="2"/>
        <v>-</v>
      </c>
      <c r="G27" s="46" t="str">
        <f t="shared" si="3"/>
        <v>-</v>
      </c>
      <c r="H27" s="4" t="str">
        <f>IFERROR(INDEX('Market Results'!$F:$F,MATCH(A27,'Market Results'!A:A,0)),"-")</f>
        <v>-</v>
      </c>
      <c r="I27" s="48" t="str">
        <f t="shared" si="4"/>
        <v>-</v>
      </c>
      <c r="K27" s="62" t="str">
        <f t="shared" si="5"/>
        <v>-</v>
      </c>
    </row>
    <row r="28" spans="1:11" x14ac:dyDescent="0.25">
      <c r="A28" s="45" t="s">
        <v>74</v>
      </c>
      <c r="B28" s="2" t="e">
        <f>INDEX(#REF!,MATCH(A28,#REF!,0))</f>
        <v>#REF!</v>
      </c>
      <c r="C28" s="46" t="e">
        <f>AVERAGEIF(#REF!,A28,#REF!)</f>
        <v>#REF!</v>
      </c>
      <c r="D28" s="46" t="str">
        <f t="shared" si="1"/>
        <v>-</v>
      </c>
      <c r="E28" s="4" t="str">
        <f>IFERROR(INDEX('Market Results'!$B:$B,MATCH(A28,'Market Results'!A:A,0)),"-")</f>
        <v>-</v>
      </c>
      <c r="F28" s="47" t="str">
        <f t="shared" si="2"/>
        <v>-</v>
      </c>
      <c r="G28" s="46" t="str">
        <f t="shared" si="3"/>
        <v>-</v>
      </c>
      <c r="H28" s="4" t="str">
        <f>IFERROR(INDEX('Market Results'!$F:$F,MATCH(A28,'Market Results'!A:A,0)),"-")</f>
        <v>-</v>
      </c>
      <c r="I28" s="48" t="str">
        <f t="shared" si="4"/>
        <v>-</v>
      </c>
      <c r="K28" s="62" t="str">
        <f t="shared" si="5"/>
        <v>-</v>
      </c>
    </row>
    <row r="29" spans="1:11" x14ac:dyDescent="0.25">
      <c r="A29" s="45" t="s">
        <v>78</v>
      </c>
      <c r="B29" s="2" t="e">
        <f>INDEX(#REF!,MATCH(A29,#REF!,0))</f>
        <v>#REF!</v>
      </c>
      <c r="C29" s="46" t="e">
        <f>AVERAGEIF(#REF!,A29,#REF!)</f>
        <v>#REF!</v>
      </c>
      <c r="D29" s="46" t="str">
        <f t="shared" si="1"/>
        <v>-</v>
      </c>
      <c r="E29" s="4">
        <f>IFERROR(INDEX('Market Results'!$B:$B,MATCH(A29,'Market Results'!A:A,0)),"-")</f>
        <v>98227.710295654833</v>
      </c>
      <c r="F29" s="47" t="str">
        <f t="shared" si="2"/>
        <v>-</v>
      </c>
      <c r="G29" s="46" t="str">
        <f t="shared" si="3"/>
        <v>-</v>
      </c>
      <c r="H29" s="4">
        <f>IFERROR(INDEX('Market Results'!$F:$F,MATCH(A29,'Market Results'!A:A,0)),"-")</f>
        <v>149361.55905786902</v>
      </c>
      <c r="I29" s="48" t="str">
        <f t="shared" si="4"/>
        <v>-</v>
      </c>
      <c r="K29" s="62" t="str">
        <f t="shared" si="5"/>
        <v>-</v>
      </c>
    </row>
    <row r="30" spans="1:11" x14ac:dyDescent="0.25">
      <c r="A30" s="45" t="s">
        <v>111</v>
      </c>
      <c r="B30" s="2" t="e">
        <f>INDEX(#REF!,MATCH(A30,#REF!,0))</f>
        <v>#REF!</v>
      </c>
      <c r="C30" s="46" t="e">
        <f>AVERAGEIF(#REF!,A30,#REF!)</f>
        <v>#REF!</v>
      </c>
      <c r="D30" s="46" t="str">
        <f t="shared" si="1"/>
        <v>-</v>
      </c>
      <c r="E30" s="4">
        <f>IFERROR(INDEX('Market Results'!$B:$B,MATCH(A30,'Market Results'!A:A,0)),"-")</f>
        <v>101104.51541972047</v>
      </c>
      <c r="F30" s="47" t="str">
        <f t="shared" si="2"/>
        <v>-</v>
      </c>
      <c r="G30" s="46" t="str">
        <f t="shared" si="3"/>
        <v>-</v>
      </c>
      <c r="H30" s="4">
        <f>IFERROR(INDEX('Market Results'!$F:$F,MATCH(A30,'Market Results'!A:A,0)),"-")</f>
        <v>136072.80363867246</v>
      </c>
      <c r="I30" s="48" t="str">
        <f t="shared" si="4"/>
        <v>-</v>
      </c>
      <c r="K30" s="62" t="str">
        <f t="shared" si="5"/>
        <v>-</v>
      </c>
    </row>
    <row r="31" spans="1:11" x14ac:dyDescent="0.25">
      <c r="A31" s="45" t="s">
        <v>218</v>
      </c>
      <c r="B31" s="2" t="e">
        <f>INDEX(#REF!,MATCH(A31,#REF!,0))</f>
        <v>#REF!</v>
      </c>
      <c r="C31" s="46" t="e">
        <f>AVERAGEIF(#REF!,A31,#REF!)</f>
        <v>#REF!</v>
      </c>
      <c r="D31" s="46" t="str">
        <f t="shared" si="1"/>
        <v>-</v>
      </c>
      <c r="E31" s="4" t="str">
        <f>IFERROR(INDEX('Market Results'!$B:$B,MATCH(A31,'Market Results'!A:A,0)),"-")</f>
        <v>-</v>
      </c>
      <c r="F31" s="47" t="str">
        <f t="shared" si="2"/>
        <v>-</v>
      </c>
      <c r="G31" s="46" t="str">
        <f t="shared" si="3"/>
        <v>-</v>
      </c>
      <c r="H31" s="4" t="str">
        <f>IFERROR(INDEX('Market Results'!$F:$F,MATCH(A31,'Market Results'!A:A,0)),"-")</f>
        <v>-</v>
      </c>
      <c r="I31" s="48" t="str">
        <f t="shared" si="4"/>
        <v>-</v>
      </c>
      <c r="K31" s="62" t="str">
        <f t="shared" si="5"/>
        <v>-</v>
      </c>
    </row>
    <row r="32" spans="1:11" x14ac:dyDescent="0.25">
      <c r="A32" s="45" t="s">
        <v>219</v>
      </c>
      <c r="B32" s="2" t="e">
        <f>INDEX(#REF!,MATCH(A32,#REF!,0))</f>
        <v>#REF!</v>
      </c>
      <c r="C32" s="46" t="e">
        <f>AVERAGEIF(#REF!,A32,#REF!)</f>
        <v>#REF!</v>
      </c>
      <c r="D32" s="46" t="str">
        <f t="shared" si="1"/>
        <v>-</v>
      </c>
      <c r="E32" s="4">
        <f>IFERROR(INDEX('Market Results'!$B:$B,MATCH(A32,'Market Results'!A:A,0)),"-")</f>
        <v>104398.3421021284</v>
      </c>
      <c r="F32" s="47" t="str">
        <f t="shared" si="2"/>
        <v>-</v>
      </c>
      <c r="G32" s="46" t="str">
        <f t="shared" si="3"/>
        <v>-</v>
      </c>
      <c r="H32" s="4">
        <f>IFERROR(INDEX('Market Results'!$F:$F,MATCH(A32,'Market Results'!A:A,0)),"-")</f>
        <v>151612.94986336579</v>
      </c>
      <c r="I32" s="48" t="str">
        <f t="shared" si="4"/>
        <v>-</v>
      </c>
      <c r="K32" s="62" t="str">
        <f t="shared" si="5"/>
        <v>-</v>
      </c>
    </row>
    <row r="33" spans="1:11" x14ac:dyDescent="0.25">
      <c r="A33" s="45" t="s">
        <v>220</v>
      </c>
      <c r="B33" s="2" t="e">
        <f>INDEX(#REF!,MATCH(A33,#REF!,0))</f>
        <v>#REF!</v>
      </c>
      <c r="C33" s="46" t="e">
        <f>AVERAGEIF(#REF!,A33,#REF!)</f>
        <v>#REF!</v>
      </c>
      <c r="D33" s="46" t="str">
        <f t="shared" si="1"/>
        <v>-</v>
      </c>
      <c r="E33" s="4">
        <f>IFERROR(INDEX('Market Results'!$B:$B,MATCH(A33,'Market Results'!A:A,0)),"-")</f>
        <v>108590.56574321177</v>
      </c>
      <c r="F33" s="47" t="str">
        <f t="shared" si="2"/>
        <v>-</v>
      </c>
      <c r="G33" s="46" t="str">
        <f t="shared" si="3"/>
        <v>-</v>
      </c>
      <c r="H33" s="4">
        <f>IFERROR(INDEX('Market Results'!$F:$F,MATCH(A33,'Market Results'!A:A,0)),"-")</f>
        <v>165182.68916195005</v>
      </c>
      <c r="I33" s="48" t="str">
        <f t="shared" si="4"/>
        <v>-</v>
      </c>
      <c r="K33" s="62" t="str">
        <f t="shared" si="5"/>
        <v>-</v>
      </c>
    </row>
    <row r="34" spans="1:11" x14ac:dyDescent="0.25">
      <c r="A34" s="45" t="s">
        <v>77</v>
      </c>
      <c r="B34" s="2" t="e">
        <f>INDEX(#REF!,MATCH(A34,#REF!,0))</f>
        <v>#REF!</v>
      </c>
      <c r="C34" s="46" t="e">
        <f>AVERAGEIF(#REF!,A34,#REF!)</f>
        <v>#REF!</v>
      </c>
      <c r="D34" s="46" t="str">
        <f t="shared" si="1"/>
        <v>-</v>
      </c>
      <c r="E34" s="4">
        <f>IFERROR(INDEX('Market Results'!$B:$B,MATCH(A34,'Market Results'!A:A,0)),"-")</f>
        <v>99785.256452755551</v>
      </c>
      <c r="F34" s="47" t="str">
        <f t="shared" si="2"/>
        <v>-</v>
      </c>
      <c r="G34" s="46" t="str">
        <f t="shared" si="3"/>
        <v>-</v>
      </c>
      <c r="H34" s="4">
        <f>IFERROR(INDEX('Market Results'!$F:$F,MATCH(A34,'Market Results'!A:A,0)),"-")</f>
        <v>145120.8503124316</v>
      </c>
      <c r="I34" s="48" t="str">
        <f t="shared" si="4"/>
        <v>-</v>
      </c>
      <c r="K34" s="62" t="str">
        <f t="shared" si="5"/>
        <v>-</v>
      </c>
    </row>
    <row r="35" spans="1:11" x14ac:dyDescent="0.25">
      <c r="A35" s="45" t="s">
        <v>59</v>
      </c>
      <c r="B35" s="2" t="e">
        <f>INDEX(#REF!,MATCH(A35,#REF!,0))</f>
        <v>#REF!</v>
      </c>
      <c r="C35" s="46" t="e">
        <f>AVERAGEIF(#REF!,A35,#REF!)</f>
        <v>#REF!</v>
      </c>
      <c r="D35" s="46" t="str">
        <f t="shared" si="1"/>
        <v>-</v>
      </c>
      <c r="E35" s="4" t="str">
        <f>IFERROR(INDEX('Market Results'!$B:$B,MATCH(A35,'Market Results'!A:A,0)),"-")</f>
        <v>-</v>
      </c>
      <c r="F35" s="47" t="str">
        <f t="shared" si="2"/>
        <v>-</v>
      </c>
      <c r="G35" s="46" t="str">
        <f t="shared" si="3"/>
        <v>-</v>
      </c>
      <c r="H35" s="4" t="str">
        <f>IFERROR(INDEX('Market Results'!$F:$F,MATCH(A35,'Market Results'!A:A,0)),"-")</f>
        <v>-</v>
      </c>
      <c r="I35" s="48" t="str">
        <f t="shared" si="4"/>
        <v>-</v>
      </c>
      <c r="K35" s="62" t="str">
        <f t="shared" si="5"/>
        <v>-</v>
      </c>
    </row>
    <row r="36" spans="1:11" x14ac:dyDescent="0.25">
      <c r="A36" s="45" t="s">
        <v>26</v>
      </c>
      <c r="B36" s="2" t="e">
        <f>INDEX(#REF!,MATCH(A36,#REF!,0))</f>
        <v>#REF!</v>
      </c>
      <c r="C36" s="46" t="e">
        <f>AVERAGEIF(#REF!,A36,#REF!)</f>
        <v>#REF!</v>
      </c>
      <c r="D36" s="46" t="str">
        <f t="shared" si="1"/>
        <v>-</v>
      </c>
      <c r="E36" s="4" t="str">
        <f>IFERROR(INDEX('Market Results'!$B:$B,MATCH(A36,'Market Results'!A:A,0)),"-")</f>
        <v>-</v>
      </c>
      <c r="F36" s="47" t="str">
        <f t="shared" si="2"/>
        <v>-</v>
      </c>
      <c r="G36" s="46" t="str">
        <f t="shared" si="3"/>
        <v>-</v>
      </c>
      <c r="H36" s="4" t="str">
        <f>IFERROR(INDEX('Market Results'!$F:$F,MATCH(A36,'Market Results'!A:A,0)),"-")</f>
        <v>-</v>
      </c>
      <c r="I36" s="48" t="str">
        <f t="shared" si="4"/>
        <v>-</v>
      </c>
      <c r="K36" s="62" t="str">
        <f t="shared" si="5"/>
        <v>-</v>
      </c>
    </row>
    <row r="37" spans="1:11" x14ac:dyDescent="0.25">
      <c r="A37" s="97" t="s">
        <v>139</v>
      </c>
      <c r="B37" s="4" t="s">
        <v>139</v>
      </c>
      <c r="C37" s="43"/>
      <c r="D37" s="4">
        <f>INDEX($B$4:$B$13,MATCH(B37,$A$4:$A$13,0))</f>
        <v>72151</v>
      </c>
      <c r="E37" s="4">
        <f>IFERROR(INDEX('Market Results'!$B:$B,MATCH(A37,'Market Results'!A:A,0)),"-")</f>
        <v>71521.989787841376</v>
      </c>
      <c r="F37" s="47">
        <f t="shared" si="2"/>
        <v>8.717969427431695E-3</v>
      </c>
      <c r="G37" s="46">
        <f>IFERROR(INDEX($C$4:$C$14,MATCH(B37,$A$4:$A$14,0)),"-")</f>
        <v>99521</v>
      </c>
      <c r="H37" s="4">
        <f>IFERROR(INDEX('Market Results'!$F:$F,MATCH(A37,'Market Results'!A:A,0)),"-")</f>
        <v>108715.74573764483</v>
      </c>
      <c r="I37" s="48">
        <f t="shared" si="4"/>
        <v>-9.2390005502806738E-2</v>
      </c>
      <c r="K37" s="63">
        <f t="shared" si="5"/>
        <v>0.37934332164488366</v>
      </c>
    </row>
    <row r="38" spans="1:11" x14ac:dyDescent="0.25">
      <c r="A38" s="97" t="s">
        <v>140</v>
      </c>
      <c r="B38" s="4" t="s">
        <v>140</v>
      </c>
      <c r="C38" s="43"/>
      <c r="D38" s="4">
        <f t="shared" ref="D38:D42" si="6">INDEX($B$4:$B$13,MATCH(B38,$A$4:$A$13,0))</f>
        <v>86254</v>
      </c>
      <c r="E38" s="4">
        <f>IFERROR(INDEX('Market Results'!$B:$B,MATCH(A38,'Market Results'!A:A,0)),"-")</f>
        <v>85166.386001860708</v>
      </c>
      <c r="F38" s="47">
        <f t="shared" si="2"/>
        <v>1.2609432584451638E-2</v>
      </c>
      <c r="G38" s="46">
        <f t="shared" ref="G38:G42" si="7">IFERROR(INDEX($C$4:$C$14,MATCH(B38,$A$4:$A$14,0)),"-")</f>
        <v>118608</v>
      </c>
      <c r="H38" s="4">
        <f>IFERROR(INDEX('Market Results'!$F:$F,MATCH(A38,'Market Results'!A:A,0)),"-")</f>
        <v>127789.71518899457</v>
      </c>
      <c r="I38" s="48">
        <f t="shared" si="4"/>
        <v>-7.7412275639034189E-2</v>
      </c>
      <c r="K38" s="63"/>
    </row>
    <row r="39" spans="1:11" x14ac:dyDescent="0.25">
      <c r="A39" s="97" t="s">
        <v>144</v>
      </c>
      <c r="B39" s="4" t="s">
        <v>144</v>
      </c>
      <c r="C39" s="43"/>
      <c r="D39" s="4">
        <f t="shared" si="6"/>
        <v>81291</v>
      </c>
      <c r="E39" s="4">
        <f>IFERROR(INDEX('Market Results'!$B:$B,MATCH(A39,'Market Results'!A:A,0)),"-")</f>
        <v>84789.170035374787</v>
      </c>
      <c r="F39" s="47">
        <f t="shared" si="2"/>
        <v>-4.303268548024735E-2</v>
      </c>
      <c r="G39" s="46">
        <f t="shared" si="7"/>
        <v>110234</v>
      </c>
      <c r="H39" s="4">
        <f>IFERROR(INDEX('Market Results'!$F:$F,MATCH(A39,'Market Results'!A:A,0)),"-")</f>
        <v>120155.84553194053</v>
      </c>
      <c r="I39" s="48">
        <f t="shared" si="4"/>
        <v>-9.0007126040427932E-2</v>
      </c>
      <c r="K39" s="63"/>
    </row>
    <row r="40" spans="1:11" x14ac:dyDescent="0.25">
      <c r="A40" s="97" t="s">
        <v>145</v>
      </c>
      <c r="B40" s="4" t="s">
        <v>145</v>
      </c>
      <c r="C40" s="43"/>
      <c r="D40" s="4">
        <f t="shared" si="6"/>
        <v>99820</v>
      </c>
      <c r="E40" s="4">
        <f>IFERROR(INDEX('Market Results'!$B:$B,MATCH(A40,'Market Results'!A:A,0)),"-")</f>
        <v>100176.47297082502</v>
      </c>
      <c r="F40" s="47">
        <f t="shared" si="2"/>
        <v>-3.5711577922763311E-3</v>
      </c>
      <c r="G40" s="46">
        <f t="shared" si="7"/>
        <v>133219</v>
      </c>
      <c r="H40" s="4">
        <f>IFERROR(INDEX('Market Results'!$F:$F,MATCH(A40,'Market Results'!A:A,0)),"-")</f>
        <v>147974.64469208036</v>
      </c>
      <c r="I40" s="48">
        <f t="shared" si="4"/>
        <v>-0.11076231387475027</v>
      </c>
      <c r="K40" s="63"/>
    </row>
    <row r="41" spans="1:11" x14ac:dyDescent="0.25">
      <c r="A41" s="97" t="s">
        <v>149</v>
      </c>
      <c r="B41" s="4" t="s">
        <v>149</v>
      </c>
      <c r="C41" s="43"/>
      <c r="D41" s="4">
        <f t="shared" si="6"/>
        <v>77613</v>
      </c>
      <c r="E41" s="4">
        <f>IFERROR(INDEX('Market Results'!$B:$B,MATCH(A41,'Market Results'!A:A,0)),"-")</f>
        <v>77001.657696549606</v>
      </c>
      <c r="F41" s="47">
        <f t="shared" si="2"/>
        <v>7.8768028996481776E-3</v>
      </c>
      <c r="G41" s="46">
        <f t="shared" si="7"/>
        <v>105982</v>
      </c>
      <c r="H41" s="4">
        <f>IFERROR(INDEX('Market Results'!$F:$F,MATCH(A41,'Market Results'!A:A,0)),"-")</f>
        <v>109605.93201831605</v>
      </c>
      <c r="I41" s="48">
        <f t="shared" si="4"/>
        <v>-3.4193844410522971E-2</v>
      </c>
      <c r="K41" s="63"/>
    </row>
    <row r="42" spans="1:11" x14ac:dyDescent="0.25">
      <c r="A42" s="97" t="s">
        <v>150</v>
      </c>
      <c r="B42" s="4" t="s">
        <v>150</v>
      </c>
      <c r="C42" s="43"/>
      <c r="D42" s="4">
        <f t="shared" si="6"/>
        <v>91321</v>
      </c>
      <c r="E42" s="4">
        <f>IFERROR(INDEX('Market Results'!$B:$B,MATCH(A42,'Market Results'!A:A,0)),"-")</f>
        <v>85092.603052870327</v>
      </c>
      <c r="F42" s="47">
        <f t="shared" si="2"/>
        <v>6.8203337098035208E-2</v>
      </c>
      <c r="G42" s="46">
        <f t="shared" si="7"/>
        <v>128404</v>
      </c>
      <c r="H42" s="4">
        <f>IFERROR(INDEX('Market Results'!$F:$F,MATCH(A42,'Market Results'!A:A,0)),"-")</f>
        <v>126290.89117483939</v>
      </c>
      <c r="I42" s="48">
        <f t="shared" si="4"/>
        <v>1.6456721170373296E-2</v>
      </c>
      <c r="K42" s="63"/>
    </row>
    <row r="43" spans="1:11" ht="15.75" thickBot="1" x14ac:dyDescent="0.3">
      <c r="A43" s="45" t="s">
        <v>222</v>
      </c>
      <c r="B43" s="2" t="e">
        <f>INDEX(#REF!,MATCH(A43,#REF!,0))</f>
        <v>#REF!</v>
      </c>
      <c r="C43" s="46" t="e">
        <f>AVERAGEIF(#REF!,A43,#REF!)</f>
        <v>#REF!</v>
      </c>
      <c r="D43" s="4" t="s">
        <v>284</v>
      </c>
      <c r="E43" s="4" t="str">
        <f>IFERROR(INDEX('Market Results'!$B:$B,MATCH(A43,'Market Results'!A:A,0)),"-")</f>
        <v>-</v>
      </c>
      <c r="F43" s="47" t="str">
        <f t="shared" si="2"/>
        <v>-</v>
      </c>
      <c r="G43" s="46" t="str">
        <f>IFERROR(INDEX($C$4:$C$14,MATCH(B43,$A$4:$A$14,0)),"-")</f>
        <v>-</v>
      </c>
      <c r="H43" s="4" t="str">
        <f>IFERROR(INDEX('Market Results'!$F:$F,MATCH(A43,'Market Results'!A:A,0)),"-")</f>
        <v>-</v>
      </c>
      <c r="I43" s="48" t="str">
        <f t="shared" si="4"/>
        <v>-</v>
      </c>
      <c r="K43" s="63" t="str">
        <f t="shared" si="5"/>
        <v>-</v>
      </c>
    </row>
    <row r="44" spans="1:11" ht="15.75" thickBot="1" x14ac:dyDescent="0.3">
      <c r="A44" s="38" t="s">
        <v>254</v>
      </c>
      <c r="B44" s="39"/>
      <c r="C44" s="40"/>
      <c r="D44" s="40">
        <f t="shared" ref="D44:I44" si="8">AVERAGE(D18:D43)</f>
        <v>84741.666666666672</v>
      </c>
      <c r="E44" s="40">
        <f t="shared" si="8"/>
        <v>92411.573360179216</v>
      </c>
      <c r="F44" s="42">
        <f t="shared" si="8"/>
        <v>8.4672831228405059E-3</v>
      </c>
      <c r="G44" s="40">
        <f t="shared" si="8"/>
        <v>115994.66666666667</v>
      </c>
      <c r="H44" s="40">
        <f t="shared" si="8"/>
        <v>134682.02188059629</v>
      </c>
      <c r="I44" s="42">
        <f t="shared" si="8"/>
        <v>-6.4718140716194805E-2</v>
      </c>
      <c r="K44" s="37">
        <f>IFERROR((G44-D44)/D44,"-")</f>
        <v>0.36880322548923195</v>
      </c>
    </row>
    <row r="46" spans="1:11" ht="15.75" thickBot="1" x14ac:dyDescent="0.3"/>
    <row r="47" spans="1:11" ht="15.75" x14ac:dyDescent="0.25">
      <c r="A47" s="85" t="s">
        <v>331</v>
      </c>
      <c r="B47" s="82" t="s">
        <v>332</v>
      </c>
    </row>
    <row r="48" spans="1:11" x14ac:dyDescent="0.25">
      <c r="A48" s="79">
        <v>34.642857142857103</v>
      </c>
      <c r="B48" s="83">
        <v>46.522857142857141</v>
      </c>
      <c r="C48">
        <f>(B48-A48)/A48</f>
        <v>0.34292783505154789</v>
      </c>
    </row>
    <row r="49" spans="1:3" x14ac:dyDescent="0.25">
      <c r="A49" s="80">
        <v>38.480533333333298</v>
      </c>
      <c r="B49" s="84">
        <v>53.077866666666665</v>
      </c>
      <c r="C49">
        <f t="shared" ref="C49:C57" si="9">(B49-A49)/A49</f>
        <v>0.37934332164488488</v>
      </c>
    </row>
    <row r="50" spans="1:3" x14ac:dyDescent="0.25">
      <c r="A50" s="79">
        <v>38.480533333333334</v>
      </c>
      <c r="B50" s="83">
        <v>53.077866666666665</v>
      </c>
      <c r="C50">
        <f t="shared" si="9"/>
        <v>0.3793433216448836</v>
      </c>
    </row>
    <row r="51" spans="1:3" x14ac:dyDescent="0.25">
      <c r="A51" s="79">
        <v>41.393599999999999</v>
      </c>
      <c r="B51" s="83">
        <v>56.523733333333332</v>
      </c>
      <c r="C51">
        <f t="shared" si="9"/>
        <v>0.36551866311056136</v>
      </c>
    </row>
    <row r="52" spans="1:3" x14ac:dyDescent="0.25">
      <c r="A52" s="80">
        <v>43.355200000000004</v>
      </c>
      <c r="B52" s="84">
        <v>58.791466666666665</v>
      </c>
      <c r="C52">
        <f t="shared" si="9"/>
        <v>0.35604187425422235</v>
      </c>
    </row>
    <row r="53" spans="1:3" x14ac:dyDescent="0.25">
      <c r="A53" s="80">
        <v>43.355200000000004</v>
      </c>
      <c r="B53" s="84">
        <v>58.791466666666665</v>
      </c>
      <c r="C53">
        <f t="shared" si="9"/>
        <v>0.35604187425422235</v>
      </c>
    </row>
    <row r="54" spans="1:3" x14ac:dyDescent="0.25">
      <c r="A54" s="79">
        <v>46.002133333333298</v>
      </c>
      <c r="B54" s="83">
        <v>63.257599999999996</v>
      </c>
      <c r="C54">
        <f t="shared" si="9"/>
        <v>0.37510144457068756</v>
      </c>
    </row>
    <row r="55" spans="1:3" x14ac:dyDescent="0.25">
      <c r="A55" s="80">
        <v>48.704533333333302</v>
      </c>
      <c r="B55" s="84">
        <v>71.050133333333335</v>
      </c>
      <c r="C55">
        <f t="shared" si="9"/>
        <v>0.4587991809112919</v>
      </c>
    </row>
    <row r="56" spans="1:3" x14ac:dyDescent="0.25">
      <c r="A56" s="79">
        <v>48.704533333333302</v>
      </c>
      <c r="B56" s="83">
        <v>68.482133333333337</v>
      </c>
      <c r="C56">
        <f t="shared" si="9"/>
        <v>0.4060730828615553</v>
      </c>
    </row>
    <row r="57" spans="1:3" ht="15.75" thickBot="1" x14ac:dyDescent="0.3">
      <c r="A57" s="86">
        <v>53.237333333333297</v>
      </c>
      <c r="B57" s="87">
        <v>71.050133333333335</v>
      </c>
      <c r="C57">
        <f t="shared" si="9"/>
        <v>0.33459226607894305</v>
      </c>
    </row>
    <row r="58" spans="1:3" x14ac:dyDescent="0.25">
      <c r="A58">
        <v>55.887999999999998</v>
      </c>
      <c r="B58">
        <v>77.482133333333337</v>
      </c>
      <c r="C58">
        <f>AVERAGE(C48:C57)</f>
        <v>0.37537828643828008</v>
      </c>
    </row>
    <row r="59" spans="1:3" x14ac:dyDescent="0.25">
      <c r="C59">
        <f>AVERAGE(C48:C58)</f>
        <v>0.37537828643828008</v>
      </c>
    </row>
  </sheetData>
  <sortState ref="A48:B58">
    <sortCondition ref="A47:A58"/>
  </sortState>
  <phoneticPr fontId="13" type="noConversion"/>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3"/>
  <sheetViews>
    <sheetView workbookViewId="0">
      <selection sqref="A1:B1"/>
    </sheetView>
  </sheetViews>
  <sheetFormatPr defaultRowHeight="15" x14ac:dyDescent="0.25"/>
  <cols>
    <col min="2" max="2" width="35.140625" customWidth="1"/>
    <col min="3" max="3" width="15.42578125" customWidth="1"/>
    <col min="4" max="4" width="13.140625" customWidth="1"/>
    <col min="7" max="7" width="14.5703125" customWidth="1"/>
    <col min="10" max="10" width="20.140625" customWidth="1"/>
    <col min="11" max="11" width="17.7109375" customWidth="1"/>
  </cols>
  <sheetData>
    <row r="1" spans="1:11" x14ac:dyDescent="0.25">
      <c r="A1" s="361" t="s">
        <v>330</v>
      </c>
      <c r="B1" s="361"/>
      <c r="C1" s="116"/>
    </row>
    <row r="3" spans="1:11" ht="13.5" customHeight="1" x14ac:dyDescent="0.25">
      <c r="B3" s="88" t="s">
        <v>329</v>
      </c>
    </row>
    <row r="4" spans="1:11" x14ac:dyDescent="0.25">
      <c r="B4" s="117" t="s">
        <v>278</v>
      </c>
      <c r="C4" s="117" t="s">
        <v>293</v>
      </c>
      <c r="D4" s="117" t="s">
        <v>294</v>
      </c>
      <c r="E4" s="117" t="s">
        <v>327</v>
      </c>
      <c r="F4" s="117" t="s">
        <v>345</v>
      </c>
      <c r="G4" s="117" t="s">
        <v>328</v>
      </c>
      <c r="H4" s="117"/>
      <c r="I4" s="117" t="s">
        <v>293</v>
      </c>
      <c r="J4" s="117" t="s">
        <v>294</v>
      </c>
      <c r="K4" s="117" t="s">
        <v>262</v>
      </c>
    </row>
    <row r="5" spans="1:11" x14ac:dyDescent="0.25">
      <c r="B5" s="2" t="s">
        <v>131</v>
      </c>
      <c r="C5" s="139">
        <v>53350</v>
      </c>
      <c r="D5" s="139">
        <v>71645.2</v>
      </c>
      <c r="E5" s="2" t="e">
        <f>INDEX(#REF!,MATCH($B5,#REF!,0))</f>
        <v>#REF!</v>
      </c>
      <c r="F5" s="2" t="e">
        <f>INDEX(#REF!,MATCH($B5,#REF!,0))</f>
        <v>#REF!</v>
      </c>
      <c r="G5" s="2">
        <v>1540</v>
      </c>
      <c r="H5" s="2"/>
      <c r="I5" s="139">
        <f>C5/G5</f>
        <v>34.642857142857146</v>
      </c>
      <c r="J5" s="139">
        <f>D5/G5</f>
        <v>46.522857142857141</v>
      </c>
      <c r="K5" s="132">
        <f>(J5-I5)/I5</f>
        <v>0.34292783505154623</v>
      </c>
    </row>
    <row r="6" spans="1:11" x14ac:dyDescent="0.25">
      <c r="B6" s="2" t="s">
        <v>136</v>
      </c>
      <c r="C6" s="139">
        <v>104790</v>
      </c>
      <c r="D6" s="139">
        <v>145279</v>
      </c>
      <c r="E6" s="2" t="e">
        <f>INDEX(#REF!,MATCH($B6,#REF!,0))</f>
        <v>#REF!</v>
      </c>
      <c r="F6" s="2" t="e">
        <f>INDEX(#REF!,MATCH($B6,#REF!,0))</f>
        <v>#REF!</v>
      </c>
      <c r="G6" s="2">
        <v>1500</v>
      </c>
      <c r="H6" s="2"/>
      <c r="I6" s="139">
        <v>43.355200000000004</v>
      </c>
      <c r="J6" s="139">
        <f t="shared" ref="J6:J15" si="0">D6/G6</f>
        <v>96.852666666666664</v>
      </c>
      <c r="K6" s="132">
        <f t="shared" ref="K6:K15" si="1">(J6-I6)/I6</f>
        <v>1.2339342608652861</v>
      </c>
    </row>
    <row r="7" spans="1:11" x14ac:dyDescent="0.25">
      <c r="B7" s="2" t="s">
        <v>123</v>
      </c>
      <c r="C7" s="139">
        <v>72151</v>
      </c>
      <c r="D7" s="139">
        <v>99521</v>
      </c>
      <c r="E7" s="2" t="e">
        <f>INDEX(#REF!,MATCH($B7,#REF!,0))</f>
        <v>#REF!</v>
      </c>
      <c r="F7" s="2" t="e">
        <f>INDEX(#REF!,MATCH($B7,#REF!,0))</f>
        <v>#REF!</v>
      </c>
      <c r="G7" s="2">
        <v>1875</v>
      </c>
      <c r="H7" s="2"/>
      <c r="I7" s="139">
        <v>38.480533333333334</v>
      </c>
      <c r="J7" s="139">
        <f t="shared" si="0"/>
        <v>53.077866666666665</v>
      </c>
      <c r="K7" s="132">
        <f t="shared" si="1"/>
        <v>0.3793433216448836</v>
      </c>
    </row>
    <row r="8" spans="1:11" x14ac:dyDescent="0.25">
      <c r="B8" s="2" t="s">
        <v>137</v>
      </c>
      <c r="C8" s="139">
        <v>65032.800000000003</v>
      </c>
      <c r="D8" s="139">
        <v>88187.199999999997</v>
      </c>
      <c r="E8" s="2" t="e">
        <f>INDEX(#REF!,MATCH($B8,#REF!,0))</f>
        <v>#REF!</v>
      </c>
      <c r="F8" s="2">
        <v>7.5</v>
      </c>
      <c r="G8" s="2">
        <v>1875</v>
      </c>
      <c r="H8" s="2"/>
      <c r="I8" s="139">
        <v>38.480533333333298</v>
      </c>
      <c r="J8" s="139">
        <f t="shared" si="0"/>
        <v>47.03317333333333</v>
      </c>
      <c r="K8" s="132">
        <f t="shared" si="1"/>
        <v>0.2222588737508846</v>
      </c>
    </row>
    <row r="9" spans="1:11" x14ac:dyDescent="0.25">
      <c r="B9" s="2" t="s">
        <v>124</v>
      </c>
      <c r="C9" s="139">
        <v>91321</v>
      </c>
      <c r="D9" s="139">
        <v>133219</v>
      </c>
      <c r="E9" s="2" t="e">
        <f>INDEX(#REF!,MATCH($B9,#REF!,0))</f>
        <v>#REF!</v>
      </c>
      <c r="F9" s="2" t="e">
        <f>INDEX(#REF!,MATCH($B9,#REF!,0))</f>
        <v>#REF!</v>
      </c>
      <c r="G9" s="2">
        <v>1875</v>
      </c>
      <c r="H9" s="2"/>
      <c r="I9" s="139">
        <v>41.393599999999999</v>
      </c>
      <c r="J9" s="139">
        <f t="shared" si="0"/>
        <v>71.050133333333335</v>
      </c>
      <c r="K9" s="132">
        <f t="shared" si="1"/>
        <v>0.71645214074961672</v>
      </c>
    </row>
    <row r="10" spans="1:11" x14ac:dyDescent="0.25">
      <c r="B10" s="2" t="s">
        <v>139</v>
      </c>
      <c r="C10" s="139">
        <v>72151</v>
      </c>
      <c r="D10" s="139">
        <v>99521</v>
      </c>
      <c r="E10" s="2" t="e">
        <f>INDEX(#REF!,MATCH($B10,#REF!,0))</f>
        <v>#REF!</v>
      </c>
      <c r="F10" s="2" t="e">
        <f>INDEX(#REF!,MATCH($B10,#REF!,0))</f>
        <v>#REF!</v>
      </c>
      <c r="G10" s="2">
        <v>1875</v>
      </c>
      <c r="H10" s="2"/>
      <c r="I10" s="139">
        <v>43.355200000000004</v>
      </c>
      <c r="J10" s="139">
        <f t="shared" si="0"/>
        <v>53.077866666666665</v>
      </c>
      <c r="K10" s="132">
        <f t="shared" si="1"/>
        <v>0.22425606770737214</v>
      </c>
    </row>
    <row r="11" spans="1:11" x14ac:dyDescent="0.25">
      <c r="B11" s="2" t="s">
        <v>140</v>
      </c>
      <c r="C11" s="139">
        <v>86254</v>
      </c>
      <c r="D11" s="139">
        <v>118608</v>
      </c>
      <c r="E11" s="2" t="e">
        <f>INDEX(#REF!,MATCH($B11,#REF!,0))</f>
        <v>#REF!</v>
      </c>
      <c r="F11" s="2" t="e">
        <f>INDEX(#REF!,MATCH($B11,#REF!,0))</f>
        <v>#REF!</v>
      </c>
      <c r="G11" s="2">
        <v>1875</v>
      </c>
      <c r="H11" s="2"/>
      <c r="I11" s="139">
        <v>46.002133333333298</v>
      </c>
      <c r="J11" s="139">
        <f t="shared" si="0"/>
        <v>63.257599999999996</v>
      </c>
      <c r="K11" s="132">
        <f t="shared" si="1"/>
        <v>0.37510144457068756</v>
      </c>
    </row>
    <row r="12" spans="1:11" x14ac:dyDescent="0.25">
      <c r="B12" s="2" t="s">
        <v>144</v>
      </c>
      <c r="C12" s="139">
        <v>81291</v>
      </c>
      <c r="D12" s="139">
        <v>110234</v>
      </c>
      <c r="E12" s="2" t="e">
        <f>INDEX(#REF!,MATCH($B12,#REF!,0))</f>
        <v>#REF!</v>
      </c>
      <c r="F12" s="2" t="e">
        <f>INDEX(#REF!,MATCH($B12,#REF!,0))</f>
        <v>#REF!</v>
      </c>
      <c r="G12" s="2">
        <v>1875</v>
      </c>
      <c r="H12" s="2"/>
      <c r="I12" s="139">
        <v>48.704533333333302</v>
      </c>
      <c r="J12" s="139">
        <f t="shared" si="0"/>
        <v>58.791466666666665</v>
      </c>
      <c r="K12" s="132">
        <f t="shared" si="1"/>
        <v>0.20710460901654676</v>
      </c>
    </row>
    <row r="13" spans="1:11" x14ac:dyDescent="0.25">
      <c r="B13" s="2" t="s">
        <v>145</v>
      </c>
      <c r="C13" s="139">
        <v>99820</v>
      </c>
      <c r="D13" s="139">
        <v>133219</v>
      </c>
      <c r="E13" s="2" t="e">
        <f>INDEX(#REF!,MATCH($B13,#REF!,0))</f>
        <v>#REF!</v>
      </c>
      <c r="F13" s="2" t="e">
        <f>INDEX(#REF!,MATCH($B13,#REF!,0))</f>
        <v>#REF!</v>
      </c>
      <c r="G13" s="2">
        <v>1875</v>
      </c>
      <c r="H13" s="2"/>
      <c r="I13" s="139">
        <v>48.704533333333302</v>
      </c>
      <c r="J13" s="139">
        <f t="shared" si="0"/>
        <v>71.050133333333335</v>
      </c>
      <c r="K13" s="132">
        <f t="shared" si="1"/>
        <v>0.4587991809112919</v>
      </c>
    </row>
    <row r="14" spans="1:11" x14ac:dyDescent="0.25">
      <c r="B14" s="2" t="s">
        <v>149</v>
      </c>
      <c r="C14" s="139">
        <v>77613</v>
      </c>
      <c r="D14" s="139">
        <v>105982</v>
      </c>
      <c r="E14" s="2" t="e">
        <f>INDEX(#REF!,MATCH($B14,#REF!,0))</f>
        <v>#REF!</v>
      </c>
      <c r="F14" s="2" t="e">
        <f>INDEX(#REF!,MATCH($B14,#REF!,0))</f>
        <v>#REF!</v>
      </c>
      <c r="G14" s="2">
        <v>1875</v>
      </c>
      <c r="H14" s="2"/>
      <c r="I14" s="139">
        <v>53.237333333333297</v>
      </c>
      <c r="J14" s="139">
        <f t="shared" si="0"/>
        <v>56.523733333333332</v>
      </c>
      <c r="K14" s="132">
        <f t="shared" si="1"/>
        <v>6.1731116008816589E-2</v>
      </c>
    </row>
    <row r="15" spans="1:11" x14ac:dyDescent="0.25">
      <c r="B15" s="2" t="s">
        <v>150</v>
      </c>
      <c r="C15" s="139">
        <v>91321</v>
      </c>
      <c r="D15" s="139">
        <v>128404</v>
      </c>
      <c r="E15" s="2" t="e">
        <f>INDEX(#REF!,MATCH($B15,#REF!,0))</f>
        <v>#REF!</v>
      </c>
      <c r="F15" s="2" t="e">
        <f>INDEX(#REF!,MATCH($B15,#REF!,0))</f>
        <v>#REF!</v>
      </c>
      <c r="G15" s="2">
        <v>1875</v>
      </c>
      <c r="H15" s="2"/>
      <c r="I15" s="139">
        <v>55.887999999999998</v>
      </c>
      <c r="J15" s="139">
        <f t="shared" si="0"/>
        <v>68.482133333333337</v>
      </c>
      <c r="K15" s="132">
        <f t="shared" si="1"/>
        <v>0.22534592995514849</v>
      </c>
    </row>
    <row r="16" spans="1:11" x14ac:dyDescent="0.25">
      <c r="C16" s="133"/>
      <c r="D16" s="133"/>
    </row>
    <row r="17" spans="2:11" x14ac:dyDescent="0.25">
      <c r="B17" s="88" t="s">
        <v>263</v>
      </c>
      <c r="C17" s="133"/>
      <c r="D17" s="133"/>
    </row>
    <row r="18" spans="2:11" x14ac:dyDescent="0.25">
      <c r="B18" s="117" t="s">
        <v>278</v>
      </c>
      <c r="C18" s="134" t="s">
        <v>293</v>
      </c>
      <c r="D18" s="134" t="s">
        <v>294</v>
      </c>
      <c r="E18" s="117" t="s">
        <v>327</v>
      </c>
      <c r="F18" s="117" t="s">
        <v>345</v>
      </c>
      <c r="G18" s="117" t="s">
        <v>328</v>
      </c>
      <c r="H18" s="117"/>
      <c r="I18" s="117" t="s">
        <v>293</v>
      </c>
      <c r="J18" s="117" t="s">
        <v>294</v>
      </c>
      <c r="K18" s="117" t="s">
        <v>262</v>
      </c>
    </row>
    <row r="19" spans="2:11" x14ac:dyDescent="0.25">
      <c r="B19" s="2" t="s">
        <v>122</v>
      </c>
      <c r="C19" s="139">
        <v>48500</v>
      </c>
      <c r="D19" s="139">
        <v>65132</v>
      </c>
      <c r="E19" s="2">
        <v>200</v>
      </c>
      <c r="F19" s="2" t="e">
        <f>INDEX(#REF!,MATCH($B19,#REF!,0))</f>
        <v>#REF!</v>
      </c>
      <c r="G19" s="2" t="e">
        <f>E19*F19</f>
        <v>#REF!</v>
      </c>
      <c r="H19" s="2"/>
      <c r="I19" s="139" t="e">
        <f>C19/G19</f>
        <v>#REF!</v>
      </c>
      <c r="J19" s="139" t="e">
        <f>D19/G19</f>
        <v>#REF!</v>
      </c>
      <c r="K19" s="132" t="e">
        <f>(J19-I19)/I19</f>
        <v>#REF!</v>
      </c>
    </row>
    <row r="20" spans="2:11" x14ac:dyDescent="0.25">
      <c r="B20" s="2" t="s">
        <v>67</v>
      </c>
      <c r="C20" s="139">
        <v>52137.5</v>
      </c>
      <c r="D20" s="139">
        <v>70016.899999999994</v>
      </c>
      <c r="E20" s="2" t="e">
        <f>INDEX(#REF!,MATCH($B20,#REF!,0))</f>
        <v>#REF!</v>
      </c>
      <c r="F20" s="2" t="e">
        <f>INDEX(#REF!,MATCH($B20,#REF!,0))</f>
        <v>#REF!</v>
      </c>
      <c r="G20" s="2" t="e">
        <f>E20*F20</f>
        <v>#REF!</v>
      </c>
      <c r="H20" s="2"/>
      <c r="I20" s="139" t="e">
        <f>C20/G20</f>
        <v>#REF!</v>
      </c>
      <c r="J20" s="139" t="e">
        <f>D20/G20</f>
        <v>#REF!</v>
      </c>
      <c r="K20" s="132" t="e">
        <f t="shared" ref="K20:K23" si="2">(J20-I20)/I20</f>
        <v>#REF!</v>
      </c>
    </row>
    <row r="21" spans="2:11" x14ac:dyDescent="0.25">
      <c r="B21" s="2" t="s">
        <v>58</v>
      </c>
      <c r="C21" s="139">
        <v>68122</v>
      </c>
      <c r="D21" s="139">
        <v>90396</v>
      </c>
      <c r="E21" s="2">
        <v>250</v>
      </c>
      <c r="F21" s="2" t="e">
        <f>INDEX(#REF!,MATCH($B21,#REF!,0))</f>
        <v>#REF!</v>
      </c>
      <c r="G21" s="2" t="e">
        <f>E21*F21</f>
        <v>#REF!</v>
      </c>
      <c r="H21" s="2"/>
      <c r="I21" s="139" t="e">
        <f>C21/G21</f>
        <v>#REF!</v>
      </c>
      <c r="J21" s="139" t="e">
        <f>D21/G21</f>
        <v>#REF!</v>
      </c>
      <c r="K21" s="132" t="e">
        <f t="shared" si="2"/>
        <v>#REF!</v>
      </c>
    </row>
    <row r="22" spans="2:11" x14ac:dyDescent="0.25">
      <c r="B22" s="2" t="s">
        <v>48</v>
      </c>
      <c r="C22" s="139">
        <v>70472</v>
      </c>
      <c r="D22" s="139">
        <v>98216</v>
      </c>
      <c r="E22" s="2">
        <v>250</v>
      </c>
      <c r="F22" s="2" t="e">
        <f>INDEX(#REF!,MATCH($B22,#REF!,0))</f>
        <v>#REF!</v>
      </c>
      <c r="G22" s="2" t="e">
        <f>E22*F22</f>
        <v>#REF!</v>
      </c>
      <c r="H22" s="2"/>
      <c r="I22" s="139" t="e">
        <f>C22/G22</f>
        <v>#REF!</v>
      </c>
      <c r="J22" s="139" t="e">
        <f>D22/G22</f>
        <v>#REF!</v>
      </c>
      <c r="K22" s="132" t="e">
        <f t="shared" si="2"/>
        <v>#REF!</v>
      </c>
    </row>
    <row r="23" spans="2:11" x14ac:dyDescent="0.25">
      <c r="B23" s="2" t="s">
        <v>27</v>
      </c>
      <c r="C23" s="139">
        <v>44862.5</v>
      </c>
      <c r="D23" s="139">
        <v>60247.1</v>
      </c>
      <c r="E23" s="2" t="e">
        <f>INDEX(#REF!,MATCH($B23,#REF!,0))</f>
        <v>#REF!</v>
      </c>
      <c r="F23" s="2" t="e">
        <f>INDEX(#REF!,MATCH($B23,#REF!,0))</f>
        <v>#REF!</v>
      </c>
      <c r="G23" s="2" t="e">
        <f>E23*F23</f>
        <v>#REF!</v>
      </c>
      <c r="H23" s="2"/>
      <c r="I23" s="139" t="e">
        <f>C23/G23</f>
        <v>#REF!</v>
      </c>
      <c r="J23" s="139" t="e">
        <f>D23/G23</f>
        <v>#REF!</v>
      </c>
      <c r="K23" s="132" t="e">
        <f t="shared" si="2"/>
        <v>#REF!</v>
      </c>
    </row>
    <row r="24" spans="2:11" x14ac:dyDescent="0.25">
      <c r="C24" s="133"/>
      <c r="D24" s="133"/>
    </row>
    <row r="25" spans="2:11" x14ac:dyDescent="0.25">
      <c r="B25" s="88" t="s">
        <v>264</v>
      </c>
      <c r="C25" s="133"/>
      <c r="D25" s="133"/>
    </row>
    <row r="26" spans="2:11" x14ac:dyDescent="0.25">
      <c r="B26" s="135"/>
      <c r="C26" s="136" t="s">
        <v>293</v>
      </c>
      <c r="D26" s="136" t="s">
        <v>294</v>
      </c>
      <c r="E26" s="137" t="s">
        <v>327</v>
      </c>
      <c r="F26" s="137" t="s">
        <v>345</v>
      </c>
      <c r="G26" s="137" t="s">
        <v>328</v>
      </c>
      <c r="H26" s="137"/>
      <c r="I26" s="137" t="s">
        <v>293</v>
      </c>
      <c r="J26" s="137" t="s">
        <v>294</v>
      </c>
      <c r="K26" s="138" t="s">
        <v>262</v>
      </c>
    </row>
    <row r="27" spans="2:11" x14ac:dyDescent="0.25">
      <c r="B27" s="2" t="s">
        <v>127</v>
      </c>
      <c r="C27" s="139">
        <v>26618</v>
      </c>
      <c r="D27" s="139">
        <v>50575</v>
      </c>
      <c r="E27" s="2" t="e">
        <f>INDEX(#REF!,MATCH($B27,#REF!,0))</f>
        <v>#REF!</v>
      </c>
      <c r="F27" s="2" t="e">
        <f>INDEX(#REF!,MATCH($B27,#REF!,0))</f>
        <v>#REF!</v>
      </c>
      <c r="G27" s="2" t="e">
        <f>E27*F27</f>
        <v>#REF!</v>
      </c>
      <c r="H27" s="2"/>
      <c r="I27" s="139" t="e">
        <f>C27/$G27</f>
        <v>#REF!</v>
      </c>
      <c r="J27" s="139" t="e">
        <f>D27/$G27</f>
        <v>#REF!</v>
      </c>
      <c r="K27" s="132" t="e">
        <f>(J27-I27)/I27</f>
        <v>#REF!</v>
      </c>
    </row>
    <row r="28" spans="2:11" x14ac:dyDescent="0.25">
      <c r="B28" s="2" t="s">
        <v>128</v>
      </c>
      <c r="C28" s="139">
        <v>26618</v>
      </c>
      <c r="D28" s="139">
        <v>50575</v>
      </c>
      <c r="E28" s="2" t="e">
        <f>INDEX(#REF!,MATCH($B28,#REF!,0))</f>
        <v>#REF!</v>
      </c>
      <c r="F28" s="2" t="e">
        <f>INDEX(#REF!,MATCH($B28,#REF!,0))</f>
        <v>#REF!</v>
      </c>
      <c r="G28" s="2" t="e">
        <f t="shared" ref="G28:G63" si="3">E28*F28</f>
        <v>#REF!</v>
      </c>
      <c r="H28" s="2"/>
      <c r="I28" s="139" t="e">
        <f t="shared" ref="I28:I63" si="4">C28/$G28</f>
        <v>#REF!</v>
      </c>
      <c r="J28" s="139" t="e">
        <f t="shared" ref="J28:J63" si="5">D28/$G28</f>
        <v>#REF!</v>
      </c>
      <c r="K28" s="132" t="e">
        <f t="shared" ref="K28:K63" si="6">(J28-I28)/I28</f>
        <v>#REF!</v>
      </c>
    </row>
    <row r="29" spans="2:11" x14ac:dyDescent="0.25">
      <c r="B29" s="2" t="s">
        <v>129</v>
      </c>
      <c r="C29" s="139">
        <v>29279</v>
      </c>
      <c r="D29" s="139">
        <v>54167</v>
      </c>
      <c r="E29" s="2" t="e">
        <f>INDEX(#REF!,MATCH($B29,#REF!,0))</f>
        <v>#REF!</v>
      </c>
      <c r="F29" s="2" t="e">
        <f>INDEX(#REF!,MATCH($B29,#REF!,0))</f>
        <v>#REF!</v>
      </c>
      <c r="G29" s="2" t="e">
        <f t="shared" si="3"/>
        <v>#REF!</v>
      </c>
      <c r="H29" s="2"/>
      <c r="I29" s="139" t="e">
        <f t="shared" si="4"/>
        <v>#REF!</v>
      </c>
      <c r="J29" s="139" t="e">
        <f t="shared" si="5"/>
        <v>#REF!</v>
      </c>
      <c r="K29" s="132" t="e">
        <f t="shared" si="6"/>
        <v>#REF!</v>
      </c>
    </row>
    <row r="30" spans="2:11" x14ac:dyDescent="0.25">
      <c r="B30" s="2" t="s">
        <v>130</v>
      </c>
      <c r="C30" s="139">
        <v>32208</v>
      </c>
      <c r="D30" s="139">
        <v>57974</v>
      </c>
      <c r="E30" s="2">
        <v>180</v>
      </c>
      <c r="F30" s="2" t="e">
        <f>INDEX(#REF!,MATCH($B30,#REF!,0))</f>
        <v>#REF!</v>
      </c>
      <c r="G30" s="2" t="e">
        <f t="shared" si="3"/>
        <v>#REF!</v>
      </c>
      <c r="H30" s="2"/>
      <c r="I30" s="139" t="e">
        <f t="shared" si="4"/>
        <v>#REF!</v>
      </c>
      <c r="J30" s="139" t="e">
        <f t="shared" si="5"/>
        <v>#REF!</v>
      </c>
      <c r="K30" s="132" t="e">
        <f t="shared" si="6"/>
        <v>#REF!</v>
      </c>
    </row>
    <row r="31" spans="2:11" x14ac:dyDescent="0.25">
      <c r="B31" s="2" t="s">
        <v>133</v>
      </c>
      <c r="C31" s="139">
        <v>29279</v>
      </c>
      <c r="D31" s="139">
        <v>54167</v>
      </c>
      <c r="E31" s="2" t="e">
        <f>INDEX(#REF!,MATCH($B31,#REF!,0))</f>
        <v>#REF!</v>
      </c>
      <c r="F31" s="2" t="e">
        <f>INDEX(#REF!,MATCH($B31,#REF!,0))</f>
        <v>#REF!</v>
      </c>
      <c r="G31" s="2" t="e">
        <f t="shared" si="3"/>
        <v>#REF!</v>
      </c>
      <c r="H31" s="2"/>
      <c r="I31" s="139" t="e">
        <f t="shared" si="4"/>
        <v>#REF!</v>
      </c>
      <c r="J31" s="139" t="e">
        <f t="shared" si="5"/>
        <v>#REF!</v>
      </c>
      <c r="K31" s="132" t="e">
        <f t="shared" si="6"/>
        <v>#REF!</v>
      </c>
    </row>
    <row r="32" spans="2:11" x14ac:dyDescent="0.25">
      <c r="B32" s="2" t="s">
        <v>134</v>
      </c>
      <c r="C32" s="139">
        <v>32208</v>
      </c>
      <c r="D32" s="139">
        <v>57974</v>
      </c>
      <c r="E32" s="2">
        <v>180</v>
      </c>
      <c r="F32" s="2" t="e">
        <f>INDEX(#REF!,MATCH($B32,#REF!,0))</f>
        <v>#REF!</v>
      </c>
      <c r="G32" s="2" t="e">
        <f t="shared" si="3"/>
        <v>#REF!</v>
      </c>
      <c r="H32" s="2"/>
      <c r="I32" s="139" t="e">
        <f t="shared" si="4"/>
        <v>#REF!</v>
      </c>
      <c r="J32" s="139" t="e">
        <f t="shared" si="5"/>
        <v>#REF!</v>
      </c>
      <c r="K32" s="132" t="e">
        <f t="shared" si="6"/>
        <v>#REF!</v>
      </c>
    </row>
    <row r="33" spans="2:11" x14ac:dyDescent="0.25">
      <c r="B33" s="2" t="s">
        <v>135</v>
      </c>
      <c r="C33" s="139">
        <v>35429</v>
      </c>
      <c r="D33" s="139">
        <v>62000</v>
      </c>
      <c r="E33" s="2" t="e">
        <f>INDEX(#REF!,MATCH($B33,#REF!,0))</f>
        <v>#REF!</v>
      </c>
      <c r="F33" s="2" t="e">
        <f>INDEX(#REF!,MATCH($B33,#REF!,0))</f>
        <v>#REF!</v>
      </c>
      <c r="G33" s="2" t="e">
        <f t="shared" si="3"/>
        <v>#REF!</v>
      </c>
      <c r="H33" s="2"/>
      <c r="I33" s="139" t="e">
        <f t="shared" si="4"/>
        <v>#REF!</v>
      </c>
      <c r="J33" s="139" t="e">
        <f t="shared" si="5"/>
        <v>#REF!</v>
      </c>
      <c r="K33" s="132" t="e">
        <f t="shared" si="6"/>
        <v>#REF!</v>
      </c>
    </row>
    <row r="34" spans="2:11" x14ac:dyDescent="0.25">
      <c r="B34" s="2" t="s">
        <v>68</v>
      </c>
      <c r="C34" s="139">
        <v>27037</v>
      </c>
      <c r="D34" s="139">
        <v>52681</v>
      </c>
      <c r="E34" s="2">
        <v>250</v>
      </c>
      <c r="F34" s="2" t="e">
        <f>INDEX(#REF!,MATCH($B34,#REF!,0))</f>
        <v>#REF!</v>
      </c>
      <c r="G34" s="2" t="e">
        <f t="shared" si="3"/>
        <v>#REF!</v>
      </c>
      <c r="H34" s="2"/>
      <c r="I34" s="139" t="e">
        <f t="shared" si="4"/>
        <v>#REF!</v>
      </c>
      <c r="J34" s="139" t="e">
        <f t="shared" si="5"/>
        <v>#REF!</v>
      </c>
      <c r="K34" s="132" t="e">
        <f t="shared" si="6"/>
        <v>#REF!</v>
      </c>
    </row>
    <row r="35" spans="2:11" x14ac:dyDescent="0.25">
      <c r="B35" s="2" t="s">
        <v>55</v>
      </c>
      <c r="C35" s="139">
        <v>23000</v>
      </c>
      <c r="D35" s="139">
        <v>44428</v>
      </c>
      <c r="E35" s="2" t="e">
        <f>INDEX(#REF!,MATCH($B35,#REF!,0))</f>
        <v>#REF!</v>
      </c>
      <c r="F35" s="2" t="e">
        <f>INDEX(#REF!,MATCH($B35,#REF!,0))</f>
        <v>#REF!</v>
      </c>
      <c r="G35" s="2" t="e">
        <f t="shared" si="3"/>
        <v>#REF!</v>
      </c>
      <c r="H35" s="2"/>
      <c r="I35" s="139" t="e">
        <f t="shared" si="4"/>
        <v>#REF!</v>
      </c>
      <c r="J35" s="139" t="e">
        <f t="shared" si="5"/>
        <v>#REF!</v>
      </c>
      <c r="K35" s="132" t="e">
        <f t="shared" si="6"/>
        <v>#REF!</v>
      </c>
    </row>
    <row r="36" spans="2:11" x14ac:dyDescent="0.25">
      <c r="B36" s="2" t="s">
        <v>88</v>
      </c>
      <c r="C36" s="139">
        <v>24500</v>
      </c>
      <c r="D36" s="139">
        <v>45928</v>
      </c>
      <c r="E36" s="2">
        <v>250</v>
      </c>
      <c r="F36" s="2" t="e">
        <f>INDEX(#REF!,MATCH($B36,#REF!,0))</f>
        <v>#REF!</v>
      </c>
      <c r="G36" s="2" t="e">
        <f t="shared" si="3"/>
        <v>#REF!</v>
      </c>
      <c r="H36" s="2"/>
      <c r="I36" s="139" t="e">
        <f t="shared" si="4"/>
        <v>#REF!</v>
      </c>
      <c r="J36" s="139" t="e">
        <f t="shared" si="5"/>
        <v>#REF!</v>
      </c>
      <c r="K36" s="132" t="e">
        <f t="shared" si="6"/>
        <v>#REF!</v>
      </c>
    </row>
    <row r="37" spans="2:11" x14ac:dyDescent="0.25">
      <c r="B37" s="2" t="s">
        <v>138</v>
      </c>
      <c r="C37" s="139">
        <v>41910</v>
      </c>
      <c r="D37" s="139">
        <v>60807</v>
      </c>
      <c r="E37" s="2" t="e">
        <f>INDEX(#REF!,MATCH($B37,#REF!,0))</f>
        <v>#REF!</v>
      </c>
      <c r="F37" s="2" t="e">
        <f>INDEX(#REF!,MATCH($B37,#REF!,0))</f>
        <v>#REF!</v>
      </c>
      <c r="G37" s="2" t="e">
        <f t="shared" si="3"/>
        <v>#REF!</v>
      </c>
      <c r="H37" s="2"/>
      <c r="I37" s="139" t="e">
        <f t="shared" si="4"/>
        <v>#REF!</v>
      </c>
      <c r="J37" s="139" t="e">
        <f t="shared" si="5"/>
        <v>#REF!</v>
      </c>
      <c r="K37" s="132" t="e">
        <f t="shared" si="6"/>
        <v>#REF!</v>
      </c>
    </row>
    <row r="38" spans="2:11" x14ac:dyDescent="0.25">
      <c r="B38" s="2" t="s">
        <v>141</v>
      </c>
      <c r="C38" s="139">
        <v>32208</v>
      </c>
      <c r="D38" s="139">
        <v>57974</v>
      </c>
      <c r="E38" s="2">
        <v>250</v>
      </c>
      <c r="F38" s="2" t="e">
        <f>INDEX(#REF!,MATCH($B38,#REF!,0))</f>
        <v>#REF!</v>
      </c>
      <c r="G38" s="2" t="e">
        <f t="shared" si="3"/>
        <v>#REF!</v>
      </c>
      <c r="H38" s="2"/>
      <c r="I38" s="139" t="e">
        <f t="shared" si="4"/>
        <v>#REF!</v>
      </c>
      <c r="J38" s="139" t="e">
        <f t="shared" si="5"/>
        <v>#REF!</v>
      </c>
      <c r="K38" s="132" t="e">
        <f t="shared" si="6"/>
        <v>#REF!</v>
      </c>
    </row>
    <row r="39" spans="2:11" x14ac:dyDescent="0.25">
      <c r="B39" s="2" t="s">
        <v>142</v>
      </c>
      <c r="C39" s="139">
        <v>35429</v>
      </c>
      <c r="D39" s="139">
        <v>62000</v>
      </c>
      <c r="E39" s="2" t="e">
        <f>INDEX(#REF!,MATCH($B39,#REF!,0))</f>
        <v>#REF!</v>
      </c>
      <c r="F39" s="2" t="e">
        <f>INDEX(#REF!,MATCH($B39,#REF!,0))</f>
        <v>#REF!</v>
      </c>
      <c r="G39" s="2" t="e">
        <f t="shared" si="3"/>
        <v>#REF!</v>
      </c>
      <c r="H39" s="2"/>
      <c r="I39" s="139" t="e">
        <f t="shared" si="4"/>
        <v>#REF!</v>
      </c>
      <c r="J39" s="139" t="e">
        <f t="shared" si="5"/>
        <v>#REF!</v>
      </c>
      <c r="K39" s="132" t="e">
        <f t="shared" si="6"/>
        <v>#REF!</v>
      </c>
    </row>
    <row r="40" spans="2:11" x14ac:dyDescent="0.25">
      <c r="B40" s="2" t="s">
        <v>143</v>
      </c>
      <c r="C40" s="139">
        <v>35429</v>
      </c>
      <c r="D40" s="139">
        <v>62000</v>
      </c>
      <c r="E40" s="2" t="e">
        <f>INDEX(#REF!,MATCH($B40,#REF!,0))</f>
        <v>#REF!</v>
      </c>
      <c r="F40" s="2" t="e">
        <f>INDEX(#REF!,MATCH($B40,#REF!,0))</f>
        <v>#REF!</v>
      </c>
      <c r="G40" s="2" t="e">
        <f t="shared" si="3"/>
        <v>#REF!</v>
      </c>
      <c r="H40" s="2"/>
      <c r="I40" s="139" t="e">
        <f t="shared" si="4"/>
        <v>#REF!</v>
      </c>
      <c r="J40" s="139" t="e">
        <f t="shared" si="5"/>
        <v>#REF!</v>
      </c>
      <c r="K40" s="132" t="e">
        <f t="shared" si="6"/>
        <v>#REF!</v>
      </c>
    </row>
    <row r="41" spans="2:11" x14ac:dyDescent="0.25">
      <c r="B41" s="2" t="s">
        <v>56</v>
      </c>
      <c r="C41" s="139">
        <v>30655</v>
      </c>
      <c r="D41" s="139">
        <v>41488</v>
      </c>
      <c r="E41" s="2" t="e">
        <f>INDEX(#REF!,MATCH($B41,#REF!,0))</f>
        <v>#REF!</v>
      </c>
      <c r="F41" s="2" t="e">
        <f>INDEX(#REF!,MATCH($B41,#REF!,0))</f>
        <v>#REF!</v>
      </c>
      <c r="G41" s="2" t="e">
        <f t="shared" si="3"/>
        <v>#REF!</v>
      </c>
      <c r="H41" s="2"/>
      <c r="I41" s="139" t="e">
        <f t="shared" si="4"/>
        <v>#REF!</v>
      </c>
      <c r="J41" s="139" t="e">
        <f t="shared" si="5"/>
        <v>#REF!</v>
      </c>
      <c r="K41" s="132" t="e">
        <f t="shared" si="6"/>
        <v>#REF!</v>
      </c>
    </row>
    <row r="42" spans="2:11" x14ac:dyDescent="0.25">
      <c r="B42" s="2" t="s">
        <v>146</v>
      </c>
      <c r="C42" s="139">
        <v>26618</v>
      </c>
      <c r="D42" s="139">
        <v>50575</v>
      </c>
      <c r="E42" s="2">
        <v>250</v>
      </c>
      <c r="F42" s="2" t="e">
        <f>INDEX(#REF!,MATCH($B42,#REF!,0))</f>
        <v>#REF!</v>
      </c>
      <c r="G42" s="2" t="e">
        <f t="shared" si="3"/>
        <v>#REF!</v>
      </c>
      <c r="H42" s="2"/>
      <c r="I42" s="139" t="e">
        <f t="shared" si="4"/>
        <v>#REF!</v>
      </c>
      <c r="J42" s="139" t="e">
        <f t="shared" si="5"/>
        <v>#REF!</v>
      </c>
      <c r="K42" s="132" t="e">
        <f t="shared" si="6"/>
        <v>#REF!</v>
      </c>
    </row>
    <row r="43" spans="2:11" x14ac:dyDescent="0.25">
      <c r="B43" s="2" t="s">
        <v>147</v>
      </c>
      <c r="C43" s="139">
        <v>29279</v>
      </c>
      <c r="D43" s="139">
        <v>54167</v>
      </c>
      <c r="E43" s="2" t="e">
        <f>INDEX(#REF!,MATCH($B43,#REF!,0))</f>
        <v>#REF!</v>
      </c>
      <c r="F43" s="2" t="e">
        <f>INDEX(#REF!,MATCH($B43,#REF!,0))</f>
        <v>#REF!</v>
      </c>
      <c r="G43" s="2" t="e">
        <f t="shared" si="3"/>
        <v>#REF!</v>
      </c>
      <c r="H43" s="2"/>
      <c r="I43" s="139" t="e">
        <f t="shared" si="4"/>
        <v>#REF!</v>
      </c>
      <c r="J43" s="139" t="e">
        <f t="shared" si="5"/>
        <v>#REF!</v>
      </c>
      <c r="K43" s="132" t="e">
        <f t="shared" si="6"/>
        <v>#REF!</v>
      </c>
    </row>
    <row r="44" spans="2:11" x14ac:dyDescent="0.25">
      <c r="B44" s="2" t="s">
        <v>148</v>
      </c>
      <c r="C44" s="139">
        <v>41910</v>
      </c>
      <c r="D44" s="139">
        <v>60807</v>
      </c>
      <c r="E44" s="2" t="e">
        <f>INDEX(#REF!,MATCH($B44,#REF!,0))</f>
        <v>#REF!</v>
      </c>
      <c r="F44" s="2" t="e">
        <f>INDEX(#REF!,MATCH($B44,#REF!,0))</f>
        <v>#REF!</v>
      </c>
      <c r="G44" s="2" t="e">
        <f t="shared" si="3"/>
        <v>#REF!</v>
      </c>
      <c r="H44" s="2"/>
      <c r="I44" s="139" t="e">
        <f t="shared" si="4"/>
        <v>#REF!</v>
      </c>
      <c r="J44" s="139" t="e">
        <f t="shared" si="5"/>
        <v>#REF!</v>
      </c>
      <c r="K44" s="132" t="e">
        <f t="shared" si="6"/>
        <v>#REF!</v>
      </c>
    </row>
    <row r="45" spans="2:11" x14ac:dyDescent="0.25">
      <c r="B45" s="2" t="s">
        <v>15</v>
      </c>
      <c r="C45" s="139">
        <v>29279</v>
      </c>
      <c r="D45" s="139">
        <v>54167</v>
      </c>
      <c r="E45" s="2" t="e">
        <f>INDEX(#REF!,MATCH($B45,#REF!,0))</f>
        <v>#REF!</v>
      </c>
      <c r="F45" s="2" t="e">
        <f>INDEX(#REF!,MATCH($B45,#REF!,0))</f>
        <v>#REF!</v>
      </c>
      <c r="G45" s="2" t="e">
        <f t="shared" si="3"/>
        <v>#REF!</v>
      </c>
      <c r="H45" s="2"/>
      <c r="I45" s="139" t="e">
        <f t="shared" si="4"/>
        <v>#REF!</v>
      </c>
      <c r="J45" s="139" t="e">
        <f t="shared" si="5"/>
        <v>#REF!</v>
      </c>
      <c r="K45" s="132" t="e">
        <f t="shared" si="6"/>
        <v>#REF!</v>
      </c>
    </row>
    <row r="46" spans="2:11" x14ac:dyDescent="0.25">
      <c r="B46" s="2" t="s">
        <v>119</v>
      </c>
      <c r="C46" s="139">
        <v>27037</v>
      </c>
      <c r="D46" s="139">
        <v>52681</v>
      </c>
      <c r="E46" s="2" t="e">
        <f>INDEX(#REF!,MATCH($B46,#REF!,0))</f>
        <v>#REF!</v>
      </c>
      <c r="F46" s="2" t="e">
        <f>INDEX(#REF!,MATCH($B46,#REF!,0))</f>
        <v>#REF!</v>
      </c>
      <c r="G46" s="2" t="e">
        <f t="shared" si="3"/>
        <v>#REF!</v>
      </c>
      <c r="H46" s="2"/>
      <c r="I46" s="139" t="e">
        <f t="shared" si="4"/>
        <v>#REF!</v>
      </c>
      <c r="J46" s="139" t="e">
        <f t="shared" si="5"/>
        <v>#REF!</v>
      </c>
      <c r="K46" s="132" t="e">
        <f t="shared" si="6"/>
        <v>#REF!</v>
      </c>
    </row>
    <row r="47" spans="2:11" x14ac:dyDescent="0.25">
      <c r="B47" s="2" t="s">
        <v>151</v>
      </c>
      <c r="C47" s="139">
        <v>35429</v>
      </c>
      <c r="D47" s="139">
        <v>62000</v>
      </c>
      <c r="E47" s="2" t="e">
        <f>INDEX(#REF!,MATCH($B47,#REF!,0))</f>
        <v>#REF!</v>
      </c>
      <c r="F47" s="2" t="e">
        <f>INDEX(#REF!,MATCH($B47,#REF!,0))</f>
        <v>#REF!</v>
      </c>
      <c r="G47" s="2" t="e">
        <f t="shared" si="3"/>
        <v>#REF!</v>
      </c>
      <c r="H47" s="2"/>
      <c r="I47" s="139" t="e">
        <f t="shared" si="4"/>
        <v>#REF!</v>
      </c>
      <c r="J47" s="139" t="e">
        <f t="shared" si="5"/>
        <v>#REF!</v>
      </c>
      <c r="K47" s="132" t="e">
        <f t="shared" si="6"/>
        <v>#REF!</v>
      </c>
    </row>
    <row r="48" spans="2:11" x14ac:dyDescent="0.25">
      <c r="B48" s="2" t="s">
        <v>95</v>
      </c>
      <c r="C48" s="139">
        <v>35429</v>
      </c>
      <c r="D48" s="139">
        <v>62000</v>
      </c>
      <c r="E48" s="2" t="e">
        <f>INDEX(#REF!,MATCH($B48,#REF!,0))</f>
        <v>#REF!</v>
      </c>
      <c r="F48" s="2" t="e">
        <f>INDEX(#REF!,MATCH($B48,#REF!,0))</f>
        <v>#REF!</v>
      </c>
      <c r="G48" s="2" t="e">
        <f t="shared" si="3"/>
        <v>#REF!</v>
      </c>
      <c r="H48" s="2"/>
      <c r="I48" s="139" t="e">
        <f t="shared" si="4"/>
        <v>#REF!</v>
      </c>
      <c r="J48" s="139" t="e">
        <f t="shared" si="5"/>
        <v>#REF!</v>
      </c>
      <c r="K48" s="132" t="e">
        <f t="shared" si="6"/>
        <v>#REF!</v>
      </c>
    </row>
    <row r="49" spans="2:11" x14ac:dyDescent="0.25">
      <c r="B49" s="2" t="s">
        <v>153</v>
      </c>
      <c r="C49" s="139">
        <v>26618</v>
      </c>
      <c r="D49" s="139">
        <v>50575</v>
      </c>
      <c r="E49" s="2">
        <v>250</v>
      </c>
      <c r="F49" s="2" t="e">
        <f>INDEX(#REF!,MATCH($B49,#REF!,0))</f>
        <v>#REF!</v>
      </c>
      <c r="G49" s="2" t="e">
        <f t="shared" si="3"/>
        <v>#REF!</v>
      </c>
      <c r="H49" s="2"/>
      <c r="I49" s="139" t="e">
        <f t="shared" si="4"/>
        <v>#REF!</v>
      </c>
      <c r="J49" s="139" t="e">
        <f t="shared" si="5"/>
        <v>#REF!</v>
      </c>
      <c r="K49" s="132" t="e">
        <f t="shared" si="6"/>
        <v>#REF!</v>
      </c>
    </row>
    <row r="50" spans="2:11" x14ac:dyDescent="0.25">
      <c r="B50" s="2" t="s">
        <v>154</v>
      </c>
      <c r="C50" s="139">
        <v>30655</v>
      </c>
      <c r="D50" s="139">
        <v>41488</v>
      </c>
      <c r="E50" s="2" t="e">
        <f>INDEX(#REF!,MATCH($B50,#REF!,0))</f>
        <v>#REF!</v>
      </c>
      <c r="F50" s="2" t="e">
        <f>INDEX(#REF!,MATCH($B50,#REF!,0))</f>
        <v>#REF!</v>
      </c>
      <c r="G50" s="2" t="e">
        <f t="shared" si="3"/>
        <v>#REF!</v>
      </c>
      <c r="H50" s="2"/>
      <c r="I50" s="139" t="e">
        <f t="shared" si="4"/>
        <v>#REF!</v>
      </c>
      <c r="J50" s="139" t="e">
        <f t="shared" si="5"/>
        <v>#REF!</v>
      </c>
      <c r="K50" s="132" t="e">
        <f t="shared" si="6"/>
        <v>#REF!</v>
      </c>
    </row>
    <row r="51" spans="2:11" x14ac:dyDescent="0.25">
      <c r="B51" s="2" t="s">
        <v>60</v>
      </c>
      <c r="C51" s="139">
        <v>48500</v>
      </c>
      <c r="D51" s="139">
        <v>65338</v>
      </c>
      <c r="E51" s="2" t="e">
        <f>INDEX(#REF!,MATCH($B51,#REF!,0))</f>
        <v>#REF!</v>
      </c>
      <c r="F51" s="2" t="e">
        <f>INDEX(#REF!,MATCH($B51,#REF!,0))</f>
        <v>#REF!</v>
      </c>
      <c r="G51" s="2" t="e">
        <f t="shared" si="3"/>
        <v>#REF!</v>
      </c>
      <c r="H51" s="2"/>
      <c r="I51" s="139" t="e">
        <f t="shared" si="4"/>
        <v>#REF!</v>
      </c>
      <c r="J51" s="139" t="e">
        <f t="shared" si="5"/>
        <v>#REF!</v>
      </c>
      <c r="K51" s="132" t="e">
        <f t="shared" si="6"/>
        <v>#REF!</v>
      </c>
    </row>
    <row r="52" spans="2:11" x14ac:dyDescent="0.25">
      <c r="B52" s="2" t="s">
        <v>155</v>
      </c>
      <c r="C52" s="139">
        <v>11652</v>
      </c>
      <c r="D52" s="139">
        <v>18043</v>
      </c>
      <c r="E52" s="2" t="e">
        <f>INDEX(#REF!,MATCH($B52,#REF!,0))</f>
        <v>#REF!</v>
      </c>
      <c r="F52" s="2" t="e">
        <f>INDEX(#REF!,MATCH($B52,#REF!,0))</f>
        <v>#REF!</v>
      </c>
      <c r="G52" s="2" t="e">
        <f t="shared" si="3"/>
        <v>#REF!</v>
      </c>
      <c r="H52" s="2"/>
      <c r="I52" s="139" t="e">
        <f t="shared" si="4"/>
        <v>#REF!</v>
      </c>
      <c r="J52" s="139" t="e">
        <f t="shared" si="5"/>
        <v>#REF!</v>
      </c>
      <c r="K52" s="132" t="e">
        <f t="shared" si="6"/>
        <v>#REF!</v>
      </c>
    </row>
    <row r="53" spans="2:11" x14ac:dyDescent="0.25">
      <c r="B53" s="2" t="s">
        <v>156</v>
      </c>
      <c r="C53" s="139">
        <v>18939</v>
      </c>
      <c r="D53" s="139">
        <v>30436</v>
      </c>
      <c r="E53" s="2" t="e">
        <f>INDEX(#REF!,MATCH($B53,#REF!,0))</f>
        <v>#REF!</v>
      </c>
      <c r="F53" s="2" t="e">
        <f>INDEX(#REF!,MATCH($B53,#REF!,0))</f>
        <v>#REF!</v>
      </c>
      <c r="G53" s="2" t="e">
        <f t="shared" si="3"/>
        <v>#REF!</v>
      </c>
      <c r="H53" s="2"/>
      <c r="I53" s="139" t="e">
        <f t="shared" si="4"/>
        <v>#REF!</v>
      </c>
      <c r="J53" s="139" t="e">
        <f t="shared" si="5"/>
        <v>#REF!</v>
      </c>
      <c r="K53" s="132" t="e">
        <f t="shared" si="6"/>
        <v>#REF!</v>
      </c>
    </row>
    <row r="54" spans="2:11" x14ac:dyDescent="0.25">
      <c r="B54" s="2" t="s">
        <v>158</v>
      </c>
      <c r="C54" s="139">
        <v>26502</v>
      </c>
      <c r="D54" s="139">
        <v>41666</v>
      </c>
      <c r="E54" s="2" t="e">
        <f>INDEX(#REF!,MATCH($B54,#REF!,0))</f>
        <v>#REF!</v>
      </c>
      <c r="F54" s="2" t="e">
        <f>INDEX(#REF!,MATCH($B54,#REF!,0))</f>
        <v>#REF!</v>
      </c>
      <c r="G54" s="2" t="e">
        <f t="shared" si="3"/>
        <v>#REF!</v>
      </c>
      <c r="H54" s="2"/>
      <c r="I54" s="139" t="e">
        <f t="shared" si="4"/>
        <v>#REF!</v>
      </c>
      <c r="J54" s="139" t="e">
        <f t="shared" si="5"/>
        <v>#REF!</v>
      </c>
      <c r="K54" s="132" t="e">
        <f t="shared" si="6"/>
        <v>#REF!</v>
      </c>
    </row>
    <row r="55" spans="2:11" x14ac:dyDescent="0.25">
      <c r="B55" s="2" t="s">
        <v>157</v>
      </c>
      <c r="C55" s="139">
        <v>21434</v>
      </c>
      <c r="D55" s="139">
        <v>32810</v>
      </c>
      <c r="E55" s="2" t="e">
        <f>INDEX(#REF!,MATCH($B55,#REF!,0))</f>
        <v>#REF!</v>
      </c>
      <c r="F55" s="2" t="e">
        <f>INDEX(#REF!,MATCH($B55,#REF!,0))</f>
        <v>#REF!</v>
      </c>
      <c r="G55" s="2" t="e">
        <f t="shared" si="3"/>
        <v>#REF!</v>
      </c>
      <c r="H55" s="2"/>
      <c r="I55" s="139" t="e">
        <f t="shared" si="4"/>
        <v>#REF!</v>
      </c>
      <c r="J55" s="139" t="e">
        <f t="shared" si="5"/>
        <v>#REF!</v>
      </c>
      <c r="K55" s="132" t="e">
        <f t="shared" si="6"/>
        <v>#REF!</v>
      </c>
    </row>
    <row r="56" spans="2:11" x14ac:dyDescent="0.25">
      <c r="B56" s="2" t="s">
        <v>159</v>
      </c>
      <c r="C56" s="139">
        <v>24198</v>
      </c>
      <c r="D56" s="139">
        <v>48396</v>
      </c>
      <c r="E56" s="2" t="e">
        <f>INDEX(#REF!,MATCH($B56,#REF!,0))</f>
        <v>#REF!</v>
      </c>
      <c r="F56" s="2" t="e">
        <f>INDEX(#REF!,MATCH($B56,#REF!,0))</f>
        <v>#REF!</v>
      </c>
      <c r="G56" s="2" t="e">
        <f t="shared" si="3"/>
        <v>#REF!</v>
      </c>
      <c r="H56" s="2"/>
      <c r="I56" s="139" t="e">
        <f t="shared" si="4"/>
        <v>#REF!</v>
      </c>
      <c r="J56" s="139" t="e">
        <f t="shared" si="5"/>
        <v>#REF!</v>
      </c>
      <c r="K56" s="132" t="e">
        <f t="shared" si="6"/>
        <v>#REF!</v>
      </c>
    </row>
    <row r="57" spans="2:11" x14ac:dyDescent="0.25">
      <c r="B57" s="2" t="s">
        <v>160</v>
      </c>
      <c r="C57" s="139">
        <v>24198</v>
      </c>
      <c r="D57" s="139">
        <v>48396</v>
      </c>
      <c r="E57" s="2" t="e">
        <f>INDEX(#REF!,MATCH($B57,#REF!,0))</f>
        <v>#REF!</v>
      </c>
      <c r="F57" s="2" t="e">
        <f>INDEX(#REF!,MATCH($B57,#REF!,0))</f>
        <v>#REF!</v>
      </c>
      <c r="G57" s="2" t="e">
        <f t="shared" si="3"/>
        <v>#REF!</v>
      </c>
      <c r="H57" s="2"/>
      <c r="I57" s="139" t="e">
        <f t="shared" si="4"/>
        <v>#REF!</v>
      </c>
      <c r="J57" s="139" t="e">
        <f t="shared" si="5"/>
        <v>#REF!</v>
      </c>
      <c r="K57" s="132" t="e">
        <f t="shared" si="6"/>
        <v>#REF!</v>
      </c>
    </row>
    <row r="58" spans="2:11" x14ac:dyDescent="0.25">
      <c r="B58" s="2" t="s">
        <v>161</v>
      </c>
      <c r="C58" s="139">
        <v>26618</v>
      </c>
      <c r="D58" s="139">
        <v>50575</v>
      </c>
      <c r="E58" s="2" t="e">
        <f>INDEX(#REF!,MATCH($B58,#REF!,0))</f>
        <v>#REF!</v>
      </c>
      <c r="F58" s="2" t="e">
        <f>INDEX(#REF!,MATCH($B58,#REF!,0))</f>
        <v>#REF!</v>
      </c>
      <c r="G58" s="2" t="e">
        <f t="shared" si="3"/>
        <v>#REF!</v>
      </c>
      <c r="H58" s="2"/>
      <c r="I58" s="139" t="e">
        <f t="shared" si="4"/>
        <v>#REF!</v>
      </c>
      <c r="J58" s="139" t="e">
        <f t="shared" si="5"/>
        <v>#REF!</v>
      </c>
      <c r="K58" s="132" t="e">
        <f t="shared" si="6"/>
        <v>#REF!</v>
      </c>
    </row>
    <row r="59" spans="2:11" x14ac:dyDescent="0.25">
      <c r="B59" s="2" t="s">
        <v>118</v>
      </c>
      <c r="C59" s="139">
        <v>30655</v>
      </c>
      <c r="D59" s="139">
        <v>41488</v>
      </c>
      <c r="E59" s="2" t="e">
        <f>INDEX(#REF!,MATCH($B59,#REF!,0))</f>
        <v>#REF!</v>
      </c>
      <c r="F59" s="2" t="e">
        <f>INDEX(#REF!,MATCH($B59,#REF!,0))</f>
        <v>#REF!</v>
      </c>
      <c r="G59" s="2" t="e">
        <f t="shared" si="3"/>
        <v>#REF!</v>
      </c>
      <c r="H59" s="2"/>
      <c r="I59" s="139" t="e">
        <f t="shared" si="4"/>
        <v>#REF!</v>
      </c>
      <c r="J59" s="139" t="e">
        <f t="shared" si="5"/>
        <v>#REF!</v>
      </c>
      <c r="K59" s="132" t="e">
        <f t="shared" si="6"/>
        <v>#REF!</v>
      </c>
    </row>
    <row r="60" spans="2:11" x14ac:dyDescent="0.25">
      <c r="B60" s="2" t="s">
        <v>14</v>
      </c>
      <c r="C60" s="139">
        <v>17692</v>
      </c>
      <c r="D60" s="139">
        <v>32523</v>
      </c>
      <c r="E60" s="2" t="e">
        <f>INDEX(#REF!,MATCH($B60,#REF!,0))</f>
        <v>#REF!</v>
      </c>
      <c r="F60" s="2" t="e">
        <f>INDEX(#REF!,MATCH($B60,#REF!,0))</f>
        <v>#REF!</v>
      </c>
      <c r="G60" s="2" t="e">
        <f t="shared" si="3"/>
        <v>#REF!</v>
      </c>
      <c r="H60" s="2"/>
      <c r="I60" s="139" t="e">
        <f t="shared" si="4"/>
        <v>#REF!</v>
      </c>
      <c r="J60" s="139" t="e">
        <f t="shared" si="5"/>
        <v>#REF!</v>
      </c>
      <c r="K60" s="132" t="e">
        <f t="shared" si="6"/>
        <v>#REF!</v>
      </c>
    </row>
    <row r="61" spans="2:11" x14ac:dyDescent="0.25">
      <c r="B61" s="2" t="s">
        <v>71</v>
      </c>
      <c r="C61" s="139">
        <v>22017</v>
      </c>
      <c r="D61" s="139">
        <v>36886</v>
      </c>
      <c r="E61" s="2" t="e">
        <f>INDEX(#REF!,MATCH($B61,#REF!,0))</f>
        <v>#REF!</v>
      </c>
      <c r="F61" s="2" t="e">
        <f>INDEX(#REF!,MATCH($B61,#REF!,0))</f>
        <v>#REF!</v>
      </c>
      <c r="G61" s="2" t="e">
        <f t="shared" si="3"/>
        <v>#REF!</v>
      </c>
      <c r="H61" s="2"/>
      <c r="I61" s="139" t="e">
        <f t="shared" si="4"/>
        <v>#REF!</v>
      </c>
      <c r="J61" s="139" t="e">
        <f t="shared" si="5"/>
        <v>#REF!</v>
      </c>
      <c r="K61" s="132" t="e">
        <f t="shared" si="6"/>
        <v>#REF!</v>
      </c>
    </row>
    <row r="62" spans="2:11" x14ac:dyDescent="0.25">
      <c r="B62" s="2" t="s">
        <v>162</v>
      </c>
      <c r="C62" s="139">
        <v>42007</v>
      </c>
      <c r="D62" s="139">
        <v>67026</v>
      </c>
      <c r="E62" s="2">
        <v>250</v>
      </c>
      <c r="F62" s="2" t="e">
        <f>INDEX(#REF!,MATCH($B62,#REF!,0))</f>
        <v>#REF!</v>
      </c>
      <c r="G62" s="2" t="e">
        <f t="shared" si="3"/>
        <v>#REF!</v>
      </c>
      <c r="H62" s="2"/>
      <c r="I62" s="139" t="e">
        <f t="shared" si="4"/>
        <v>#REF!</v>
      </c>
      <c r="J62" s="139" t="e">
        <f t="shared" si="5"/>
        <v>#REF!</v>
      </c>
      <c r="K62" s="132" t="e">
        <f t="shared" si="6"/>
        <v>#REF!</v>
      </c>
    </row>
    <row r="63" spans="2:11" x14ac:dyDescent="0.25">
      <c r="B63" s="2" t="s">
        <v>49</v>
      </c>
      <c r="C63" s="139">
        <v>24198</v>
      </c>
      <c r="D63" s="139">
        <v>48396</v>
      </c>
      <c r="E63" s="2" t="e">
        <f>INDEX(#REF!,MATCH($B63,#REF!,0))</f>
        <v>#REF!</v>
      </c>
      <c r="F63" s="2" t="e">
        <f>INDEX(#REF!,MATCH($B63,#REF!,0))</f>
        <v>#REF!</v>
      </c>
      <c r="G63" s="2" t="e">
        <f t="shared" si="3"/>
        <v>#REF!</v>
      </c>
      <c r="H63" s="2"/>
      <c r="I63" s="139" t="e">
        <f t="shared" si="4"/>
        <v>#REF!</v>
      </c>
      <c r="J63" s="139" t="e">
        <f t="shared" si="5"/>
        <v>#REF!</v>
      </c>
      <c r="K63" s="132" t="e">
        <f t="shared" si="6"/>
        <v>#REF!</v>
      </c>
    </row>
  </sheetData>
  <autoFilter ref="B18:J23">
    <sortState ref="B19:J23">
      <sortCondition ref="I18:I23"/>
    </sortState>
  </autoFilter>
  <mergeCells count="1">
    <mergeCell ref="A1:B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62"/>
  <sheetViews>
    <sheetView workbookViewId="0"/>
  </sheetViews>
  <sheetFormatPr defaultRowHeight="15" x14ac:dyDescent="0.25"/>
  <cols>
    <col min="3" max="3" width="13.140625" customWidth="1"/>
    <col min="6" max="6" width="10.28515625" customWidth="1"/>
    <col min="7" max="7" width="14.85546875" customWidth="1"/>
    <col min="8" max="8" width="10.42578125" customWidth="1"/>
  </cols>
  <sheetData>
    <row r="1" spans="1:8" x14ac:dyDescent="0.25">
      <c r="A1" s="127" t="s">
        <v>261</v>
      </c>
      <c r="B1" s="104" t="s">
        <v>1</v>
      </c>
      <c r="C1" s="104" t="s">
        <v>326</v>
      </c>
      <c r="D1" s="129" t="s">
        <v>325</v>
      </c>
      <c r="F1" s="127" t="s">
        <v>261</v>
      </c>
      <c r="G1" s="104" t="s">
        <v>4</v>
      </c>
      <c r="H1" s="128" t="s">
        <v>5</v>
      </c>
    </row>
    <row r="2" spans="1:8" x14ac:dyDescent="0.25">
      <c r="A2" s="130" t="s">
        <v>265</v>
      </c>
      <c r="B2" s="140">
        <v>0</v>
      </c>
      <c r="C2" s="142" t="e">
        <f>INDEX(#REF!,MATCH(B2,#REF!,MATCH(A2,#REF!,0)))</f>
        <v>#REF!</v>
      </c>
      <c r="D2" s="141">
        <v>2</v>
      </c>
      <c r="F2" s="121" t="s">
        <v>265</v>
      </c>
      <c r="G2" s="122">
        <v>2</v>
      </c>
      <c r="H2" s="123">
        <f t="shared" ref="H2:H32" si="0">G2+30</f>
        <v>32</v>
      </c>
    </row>
    <row r="3" spans="1:8" x14ac:dyDescent="0.25">
      <c r="A3" s="130" t="s">
        <v>265</v>
      </c>
      <c r="B3" s="140">
        <v>1</v>
      </c>
      <c r="C3" s="142" t="e">
        <f>INDEX(#REF!,MATCH(B3,#REF!,MATCH(A3,#REF!,0)))</f>
        <v>#REF!</v>
      </c>
      <c r="D3" s="141">
        <v>3</v>
      </c>
      <c r="F3" s="121" t="s">
        <v>266</v>
      </c>
      <c r="G3" s="122">
        <f t="shared" ref="G3:G32" si="1">H2+1</f>
        <v>33</v>
      </c>
      <c r="H3" s="123">
        <f t="shared" si="0"/>
        <v>63</v>
      </c>
    </row>
    <row r="4" spans="1:8" x14ac:dyDescent="0.25">
      <c r="A4" s="130" t="s">
        <v>265</v>
      </c>
      <c r="B4" s="140">
        <v>2</v>
      </c>
      <c r="C4" s="142" t="e">
        <f>INDEX(#REF!,MATCH(B4,#REF!,MATCH(A4,#REF!,0)))</f>
        <v>#REF!</v>
      </c>
      <c r="D4" s="141">
        <v>4</v>
      </c>
      <c r="F4" s="121" t="s">
        <v>267</v>
      </c>
      <c r="G4" s="122">
        <f t="shared" si="1"/>
        <v>64</v>
      </c>
      <c r="H4" s="123">
        <f t="shared" si="0"/>
        <v>94</v>
      </c>
    </row>
    <row r="5" spans="1:8" x14ac:dyDescent="0.25">
      <c r="A5" s="130" t="s">
        <v>265</v>
      </c>
      <c r="B5" s="140">
        <v>3</v>
      </c>
      <c r="C5" s="142" t="e">
        <f>INDEX(#REF!,MATCH(B5,#REF!,MATCH(A5,#REF!,0)))</f>
        <v>#REF!</v>
      </c>
      <c r="D5" s="141">
        <v>5</v>
      </c>
      <c r="F5" s="121" t="s">
        <v>268</v>
      </c>
      <c r="G5" s="122">
        <f t="shared" si="1"/>
        <v>95</v>
      </c>
      <c r="H5" s="123">
        <f t="shared" si="0"/>
        <v>125</v>
      </c>
    </row>
    <row r="6" spans="1:8" x14ac:dyDescent="0.25">
      <c r="A6" s="130" t="s">
        <v>265</v>
      </c>
      <c r="B6" s="140">
        <v>4</v>
      </c>
      <c r="C6" s="142" t="e">
        <f>INDEX(#REF!,MATCH(B6,#REF!,MATCH(A6,#REF!,0)))</f>
        <v>#REF!</v>
      </c>
      <c r="D6" s="141">
        <v>6</v>
      </c>
      <c r="F6" s="121" t="s">
        <v>269</v>
      </c>
      <c r="G6" s="122">
        <f t="shared" si="1"/>
        <v>126</v>
      </c>
      <c r="H6" s="123">
        <f t="shared" si="0"/>
        <v>156</v>
      </c>
    </row>
    <row r="7" spans="1:8" x14ac:dyDescent="0.25">
      <c r="A7" s="130" t="s">
        <v>265</v>
      </c>
      <c r="B7" s="140">
        <v>5</v>
      </c>
      <c r="C7" s="142" t="e">
        <f>INDEX(#REF!,MATCH(B7,#REF!,MATCH(A7,#REF!,0)))</f>
        <v>#REF!</v>
      </c>
      <c r="D7" s="141">
        <v>7</v>
      </c>
      <c r="F7" s="121" t="s">
        <v>270</v>
      </c>
      <c r="G7" s="122">
        <f t="shared" si="1"/>
        <v>157</v>
      </c>
      <c r="H7" s="123">
        <f t="shared" si="0"/>
        <v>187</v>
      </c>
    </row>
    <row r="8" spans="1:8" x14ac:dyDescent="0.25">
      <c r="A8" s="130" t="s">
        <v>265</v>
      </c>
      <c r="B8" s="140">
        <v>6</v>
      </c>
      <c r="C8" s="142" t="e">
        <f>INDEX(#REF!,MATCH(B8,#REF!,MATCH(A8,#REF!,0)))</f>
        <v>#REF!</v>
      </c>
      <c r="D8" s="141">
        <v>8</v>
      </c>
      <c r="F8" s="121" t="s">
        <v>285</v>
      </c>
      <c r="G8" s="122">
        <f t="shared" si="1"/>
        <v>188</v>
      </c>
      <c r="H8" s="123">
        <f t="shared" si="0"/>
        <v>218</v>
      </c>
    </row>
    <row r="9" spans="1:8" x14ac:dyDescent="0.25">
      <c r="A9" s="130" t="s">
        <v>265</v>
      </c>
      <c r="B9" s="140">
        <v>7</v>
      </c>
      <c r="C9" s="142" t="e">
        <f>INDEX(#REF!,MATCH(B9,#REF!,MATCH(A9,#REF!,0)))</f>
        <v>#REF!</v>
      </c>
      <c r="D9" s="141">
        <v>9</v>
      </c>
      <c r="F9" s="121" t="s">
        <v>344</v>
      </c>
      <c r="G9" s="122">
        <f t="shared" si="1"/>
        <v>219</v>
      </c>
      <c r="H9" s="123">
        <f t="shared" si="0"/>
        <v>249</v>
      </c>
    </row>
    <row r="10" spans="1:8" x14ac:dyDescent="0.25">
      <c r="A10" s="130" t="s">
        <v>265</v>
      </c>
      <c r="B10" s="140">
        <v>8</v>
      </c>
      <c r="C10" s="142" t="e">
        <f>INDEX(#REF!,MATCH(B10,#REF!,MATCH(A10,#REF!,0)))</f>
        <v>#REF!</v>
      </c>
      <c r="D10" s="141">
        <v>10</v>
      </c>
      <c r="E10" s="22"/>
      <c r="F10" s="121" t="s">
        <v>298</v>
      </c>
      <c r="G10" s="122">
        <f t="shared" si="1"/>
        <v>250</v>
      </c>
      <c r="H10" s="123">
        <f t="shared" si="0"/>
        <v>280</v>
      </c>
    </row>
    <row r="11" spans="1:8" x14ac:dyDescent="0.25">
      <c r="A11" s="130" t="s">
        <v>265</v>
      </c>
      <c r="B11" s="140">
        <v>9</v>
      </c>
      <c r="C11" s="142" t="e">
        <f>INDEX(#REF!,MATCH(B11,#REF!,MATCH(A11,#REF!,0)))</f>
        <v>#REF!</v>
      </c>
      <c r="D11" s="141">
        <v>11</v>
      </c>
      <c r="E11" s="22"/>
      <c r="F11" s="121" t="s">
        <v>299</v>
      </c>
      <c r="G11" s="122">
        <f t="shared" si="1"/>
        <v>281</v>
      </c>
      <c r="H11" s="123">
        <f t="shared" si="0"/>
        <v>311</v>
      </c>
    </row>
    <row r="12" spans="1:8" x14ac:dyDescent="0.25">
      <c r="A12" s="130" t="s">
        <v>265</v>
      </c>
      <c r="B12" s="140">
        <v>10</v>
      </c>
      <c r="C12" s="142" t="e">
        <f>INDEX(#REF!,MATCH(B12,#REF!,MATCH(A12,#REF!,0)))</f>
        <v>#REF!</v>
      </c>
      <c r="D12" s="141">
        <v>12</v>
      </c>
      <c r="E12" s="22"/>
      <c r="F12" s="121" t="s">
        <v>300</v>
      </c>
      <c r="G12" s="122">
        <f t="shared" si="1"/>
        <v>312</v>
      </c>
      <c r="H12" s="123">
        <f t="shared" si="0"/>
        <v>342</v>
      </c>
    </row>
    <row r="13" spans="1:8" x14ac:dyDescent="0.25">
      <c r="A13" s="130" t="s">
        <v>265</v>
      </c>
      <c r="B13" s="140">
        <v>11</v>
      </c>
      <c r="C13" s="142" t="e">
        <f>INDEX(#REF!,MATCH(B13,#REF!,MATCH(A13,#REF!,0)))</f>
        <v>#REF!</v>
      </c>
      <c r="D13" s="141">
        <v>13</v>
      </c>
      <c r="E13" s="22"/>
      <c r="F13" s="121" t="s">
        <v>300</v>
      </c>
      <c r="G13" s="122">
        <f t="shared" si="1"/>
        <v>343</v>
      </c>
      <c r="H13" s="123">
        <f t="shared" si="0"/>
        <v>373</v>
      </c>
    </row>
    <row r="14" spans="1:8" x14ac:dyDescent="0.25">
      <c r="A14" s="130" t="s">
        <v>265</v>
      </c>
      <c r="B14" s="140">
        <v>12</v>
      </c>
      <c r="C14" s="142" t="e">
        <f>INDEX(#REF!,MATCH(B14,#REF!,MATCH(A14,#REF!,0)))</f>
        <v>#REF!</v>
      </c>
      <c r="D14" s="141">
        <v>14</v>
      </c>
      <c r="E14" s="22"/>
      <c r="F14" s="121" t="s">
        <v>301</v>
      </c>
      <c r="G14" s="122">
        <f t="shared" si="1"/>
        <v>374</v>
      </c>
      <c r="H14" s="123">
        <f t="shared" si="0"/>
        <v>404</v>
      </c>
    </row>
    <row r="15" spans="1:8" x14ac:dyDescent="0.25">
      <c r="A15" s="130" t="s">
        <v>265</v>
      </c>
      <c r="B15" s="140">
        <v>13</v>
      </c>
      <c r="C15" s="142" t="e">
        <f>INDEX(#REF!,MATCH(B15,#REF!,MATCH(A15,#REF!,0)))</f>
        <v>#REF!</v>
      </c>
      <c r="D15" s="141">
        <v>15</v>
      </c>
      <c r="E15" s="22"/>
      <c r="F15" s="121" t="s">
        <v>302</v>
      </c>
      <c r="G15" s="122">
        <f t="shared" si="1"/>
        <v>405</v>
      </c>
      <c r="H15" s="123">
        <f t="shared" si="0"/>
        <v>435</v>
      </c>
    </row>
    <row r="16" spans="1:8" x14ac:dyDescent="0.25">
      <c r="A16" s="130" t="s">
        <v>265</v>
      </c>
      <c r="B16" s="140">
        <v>14</v>
      </c>
      <c r="C16" s="142" t="e">
        <f>INDEX(#REF!,MATCH(B16,#REF!,MATCH(A16,#REF!,0)))</f>
        <v>#REF!</v>
      </c>
      <c r="D16" s="141">
        <v>16</v>
      </c>
      <c r="E16" s="22"/>
      <c r="F16" s="121" t="s">
        <v>303</v>
      </c>
      <c r="G16" s="122">
        <f t="shared" si="1"/>
        <v>436</v>
      </c>
      <c r="H16" s="123">
        <f t="shared" si="0"/>
        <v>466</v>
      </c>
    </row>
    <row r="17" spans="1:8" x14ac:dyDescent="0.25">
      <c r="A17" s="130" t="s">
        <v>265</v>
      </c>
      <c r="B17" s="140">
        <v>15</v>
      </c>
      <c r="C17" s="142" t="e">
        <f>INDEX(#REF!,MATCH(B17,#REF!,MATCH(A17,#REF!,0)))</f>
        <v>#REF!</v>
      </c>
      <c r="D17" s="141">
        <v>17</v>
      </c>
      <c r="E17" s="22"/>
      <c r="F17" s="121" t="s">
        <v>304</v>
      </c>
      <c r="G17" s="122">
        <f t="shared" si="1"/>
        <v>467</v>
      </c>
      <c r="H17" s="123">
        <f t="shared" si="0"/>
        <v>497</v>
      </c>
    </row>
    <row r="18" spans="1:8" x14ac:dyDescent="0.25">
      <c r="A18" s="130" t="s">
        <v>265</v>
      </c>
      <c r="B18" s="140">
        <v>16</v>
      </c>
      <c r="C18" s="142" t="e">
        <f>INDEX(#REF!,MATCH(B18,#REF!,MATCH(A18,#REF!,0)))</f>
        <v>#REF!</v>
      </c>
      <c r="D18" s="141">
        <v>18</v>
      </c>
      <c r="E18" s="22"/>
      <c r="F18" s="121" t="s">
        <v>305</v>
      </c>
      <c r="G18" s="122">
        <f t="shared" si="1"/>
        <v>498</v>
      </c>
      <c r="H18" s="123">
        <f t="shared" si="0"/>
        <v>528</v>
      </c>
    </row>
    <row r="19" spans="1:8" x14ac:dyDescent="0.25">
      <c r="A19" s="130" t="s">
        <v>265</v>
      </c>
      <c r="B19" s="140">
        <v>17</v>
      </c>
      <c r="C19" s="142" t="e">
        <f>INDEX(#REF!,MATCH(B19,#REF!,MATCH(A19,#REF!,0)))</f>
        <v>#REF!</v>
      </c>
      <c r="D19" s="141">
        <v>19</v>
      </c>
      <c r="E19" s="22"/>
      <c r="F19" s="121" t="s">
        <v>306</v>
      </c>
      <c r="G19" s="122">
        <f t="shared" si="1"/>
        <v>529</v>
      </c>
      <c r="H19" s="123">
        <f t="shared" si="0"/>
        <v>559</v>
      </c>
    </row>
    <row r="20" spans="1:8" x14ac:dyDescent="0.25">
      <c r="A20" s="130" t="s">
        <v>265</v>
      </c>
      <c r="B20" s="140">
        <v>18</v>
      </c>
      <c r="C20" s="142" t="e">
        <f>INDEX(#REF!,MATCH(B20,#REF!,MATCH(A20,#REF!,0)))</f>
        <v>#REF!</v>
      </c>
      <c r="D20" s="141">
        <v>20</v>
      </c>
      <c r="E20" s="22"/>
      <c r="F20" s="121" t="s">
        <v>307</v>
      </c>
      <c r="G20" s="122">
        <f t="shared" si="1"/>
        <v>560</v>
      </c>
      <c r="H20" s="123">
        <f t="shared" si="0"/>
        <v>590</v>
      </c>
    </row>
    <row r="21" spans="1:8" x14ac:dyDescent="0.25">
      <c r="A21" s="130" t="s">
        <v>265</v>
      </c>
      <c r="B21" s="140">
        <v>19</v>
      </c>
      <c r="C21" s="142" t="e">
        <f>INDEX(#REF!,MATCH(B21,#REF!,MATCH(A21,#REF!,0)))</f>
        <v>#REF!</v>
      </c>
      <c r="D21" s="141">
        <v>21</v>
      </c>
      <c r="E21" s="22"/>
      <c r="F21" s="121" t="s">
        <v>308</v>
      </c>
      <c r="G21" s="122">
        <f t="shared" si="1"/>
        <v>591</v>
      </c>
      <c r="H21" s="123">
        <f t="shared" si="0"/>
        <v>621</v>
      </c>
    </row>
    <row r="22" spans="1:8" x14ac:dyDescent="0.25">
      <c r="A22" s="130" t="s">
        <v>265</v>
      </c>
      <c r="B22" s="140">
        <v>20</v>
      </c>
      <c r="C22" s="142" t="e">
        <f>INDEX(#REF!,MATCH(B22,#REF!,MATCH(A22,#REF!,0)))</f>
        <v>#REF!</v>
      </c>
      <c r="D22" s="141">
        <v>22</v>
      </c>
      <c r="E22" s="22"/>
      <c r="F22" s="121" t="s">
        <v>309</v>
      </c>
      <c r="G22" s="122">
        <f t="shared" si="1"/>
        <v>622</v>
      </c>
      <c r="H22" s="123">
        <f t="shared" si="0"/>
        <v>652</v>
      </c>
    </row>
    <row r="23" spans="1:8" x14ac:dyDescent="0.25">
      <c r="A23" s="130" t="s">
        <v>265</v>
      </c>
      <c r="B23" s="140">
        <v>21</v>
      </c>
      <c r="C23" s="142" t="e">
        <f>INDEX(#REF!,MATCH(B23,#REF!,MATCH(A23,#REF!,0)))</f>
        <v>#REF!</v>
      </c>
      <c r="D23" s="141">
        <v>23</v>
      </c>
      <c r="E23" s="22"/>
      <c r="F23" s="121" t="s">
        <v>310</v>
      </c>
      <c r="G23" s="122">
        <f t="shared" si="1"/>
        <v>653</v>
      </c>
      <c r="H23" s="123">
        <f t="shared" si="0"/>
        <v>683</v>
      </c>
    </row>
    <row r="24" spans="1:8" x14ac:dyDescent="0.25">
      <c r="A24" s="130" t="s">
        <v>265</v>
      </c>
      <c r="B24" s="140">
        <v>22</v>
      </c>
      <c r="C24" s="142" t="e">
        <f>INDEX(#REF!,MATCH(B24,#REF!,MATCH(A24,#REF!,0)))</f>
        <v>#REF!</v>
      </c>
      <c r="D24" s="141">
        <v>24</v>
      </c>
      <c r="E24" s="22"/>
      <c r="F24" s="121" t="s">
        <v>311</v>
      </c>
      <c r="G24" s="122">
        <f t="shared" si="1"/>
        <v>684</v>
      </c>
      <c r="H24" s="123">
        <f t="shared" si="0"/>
        <v>714</v>
      </c>
    </row>
    <row r="25" spans="1:8" x14ac:dyDescent="0.25">
      <c r="A25" s="130" t="s">
        <v>265</v>
      </c>
      <c r="B25" s="140">
        <v>23</v>
      </c>
      <c r="C25" s="142" t="e">
        <f>INDEX(#REF!,MATCH(B25,#REF!,MATCH(A25,#REF!,0)))</f>
        <v>#REF!</v>
      </c>
      <c r="D25" s="141">
        <v>25</v>
      </c>
      <c r="E25" s="22"/>
      <c r="F25" s="121" t="s">
        <v>312</v>
      </c>
      <c r="G25" s="122">
        <f t="shared" si="1"/>
        <v>715</v>
      </c>
      <c r="H25" s="123">
        <f t="shared" si="0"/>
        <v>745</v>
      </c>
    </row>
    <row r="26" spans="1:8" x14ac:dyDescent="0.25">
      <c r="A26" s="130" t="s">
        <v>265</v>
      </c>
      <c r="B26" s="140">
        <v>24</v>
      </c>
      <c r="C26" s="142" t="e">
        <f>INDEX(#REF!,MATCH(B26,#REF!,MATCH(A26,#REF!,0)))</f>
        <v>#REF!</v>
      </c>
      <c r="D26" s="141">
        <v>26</v>
      </c>
      <c r="E26" s="22"/>
      <c r="F26" s="121" t="s">
        <v>313</v>
      </c>
      <c r="G26" s="122">
        <f t="shared" si="1"/>
        <v>746</v>
      </c>
      <c r="H26" s="123">
        <f t="shared" si="0"/>
        <v>776</v>
      </c>
    </row>
    <row r="27" spans="1:8" x14ac:dyDescent="0.25">
      <c r="A27" s="130" t="s">
        <v>265</v>
      </c>
      <c r="B27" s="140">
        <v>25</v>
      </c>
      <c r="C27" s="142" t="e">
        <f>INDEX(#REF!,MATCH(B27,#REF!,MATCH(A27,#REF!,0)))</f>
        <v>#REF!</v>
      </c>
      <c r="D27" s="141">
        <v>27</v>
      </c>
      <c r="E27" s="22"/>
      <c r="F27" s="121" t="s">
        <v>314</v>
      </c>
      <c r="G27" s="122">
        <f t="shared" si="1"/>
        <v>777</v>
      </c>
      <c r="H27" s="123">
        <f t="shared" si="0"/>
        <v>807</v>
      </c>
    </row>
    <row r="28" spans="1:8" x14ac:dyDescent="0.25">
      <c r="A28" s="130" t="s">
        <v>265</v>
      </c>
      <c r="B28" s="140">
        <v>26</v>
      </c>
      <c r="C28" s="142" t="e">
        <f>INDEX(#REF!,MATCH(B28,#REF!,MATCH(A28,#REF!,0)))</f>
        <v>#REF!</v>
      </c>
      <c r="D28" s="141">
        <v>28</v>
      </c>
      <c r="E28" s="22"/>
      <c r="F28" s="121" t="s">
        <v>315</v>
      </c>
      <c r="G28" s="122">
        <f t="shared" si="1"/>
        <v>808</v>
      </c>
      <c r="H28" s="123">
        <f t="shared" si="0"/>
        <v>838</v>
      </c>
    </row>
    <row r="29" spans="1:8" x14ac:dyDescent="0.25">
      <c r="A29" s="130" t="s">
        <v>265</v>
      </c>
      <c r="B29" s="140">
        <v>27</v>
      </c>
      <c r="C29" s="142" t="e">
        <f>INDEX(#REF!,MATCH(B29,#REF!,MATCH(A29,#REF!,0)))</f>
        <v>#REF!</v>
      </c>
      <c r="D29" s="141">
        <v>29</v>
      </c>
      <c r="E29" s="22"/>
      <c r="F29" s="121" t="s">
        <v>333</v>
      </c>
      <c r="G29" s="122">
        <f t="shared" si="1"/>
        <v>839</v>
      </c>
      <c r="H29" s="123">
        <f t="shared" si="0"/>
        <v>869</v>
      </c>
    </row>
    <row r="30" spans="1:8" x14ac:dyDescent="0.25">
      <c r="A30" s="130" t="s">
        <v>265</v>
      </c>
      <c r="B30" s="140">
        <v>28</v>
      </c>
      <c r="C30" s="142" t="e">
        <f>INDEX(#REF!,MATCH(B30,#REF!,MATCH(A30,#REF!,0)))</f>
        <v>#REF!</v>
      </c>
      <c r="D30" s="141">
        <v>30</v>
      </c>
      <c r="E30" s="22"/>
      <c r="F30" s="121" t="s">
        <v>334</v>
      </c>
      <c r="G30" s="122">
        <f t="shared" si="1"/>
        <v>870</v>
      </c>
      <c r="H30" s="123">
        <f t="shared" si="0"/>
        <v>900</v>
      </c>
    </row>
    <row r="31" spans="1:8" x14ac:dyDescent="0.25">
      <c r="A31" s="130" t="s">
        <v>265</v>
      </c>
      <c r="B31" s="140">
        <v>29</v>
      </c>
      <c r="C31" s="142" t="e">
        <f>INDEX(#REF!,MATCH(B31,#REF!,MATCH(A31,#REF!,0)))</f>
        <v>#REF!</v>
      </c>
      <c r="D31" s="141">
        <v>31</v>
      </c>
      <c r="E31" s="22"/>
      <c r="F31" s="121" t="s">
        <v>335</v>
      </c>
      <c r="G31" s="122">
        <f t="shared" si="1"/>
        <v>901</v>
      </c>
      <c r="H31" s="123">
        <f t="shared" si="0"/>
        <v>931</v>
      </c>
    </row>
    <row r="32" spans="1:8" x14ac:dyDescent="0.25">
      <c r="A32" s="130" t="s">
        <v>265</v>
      </c>
      <c r="B32" s="140">
        <v>30</v>
      </c>
      <c r="C32" s="142" t="e">
        <f>INDEX(#REF!,MATCH(B32,#REF!,MATCH(A32,#REF!,0)))</f>
        <v>#REF!</v>
      </c>
      <c r="D32" s="141">
        <v>32</v>
      </c>
      <c r="E32" s="22"/>
      <c r="F32" s="124" t="s">
        <v>336</v>
      </c>
      <c r="G32" s="125">
        <f t="shared" si="1"/>
        <v>932</v>
      </c>
      <c r="H32" s="126">
        <f t="shared" si="0"/>
        <v>962</v>
      </c>
    </row>
    <row r="33" spans="1:5" x14ac:dyDescent="0.25">
      <c r="A33" s="130" t="s">
        <v>266</v>
      </c>
      <c r="B33" s="140">
        <v>0</v>
      </c>
      <c r="C33" s="142" t="e">
        <f>INDEX(#REF!,MATCH(B33,#REF!,MATCH(A33,#REF!,0)))</f>
        <v>#REF!</v>
      </c>
      <c r="D33" s="141">
        <v>33</v>
      </c>
      <c r="E33" s="22"/>
    </row>
    <row r="34" spans="1:5" x14ac:dyDescent="0.25">
      <c r="A34" s="130" t="s">
        <v>266</v>
      </c>
      <c r="B34" s="140">
        <v>1</v>
      </c>
      <c r="C34" s="142" t="e">
        <f>INDEX(#REF!,MATCH(B34,#REF!,MATCH(A34,#REF!,0)))</f>
        <v>#REF!</v>
      </c>
      <c r="D34" s="141">
        <v>34</v>
      </c>
      <c r="E34" s="22"/>
    </row>
    <row r="35" spans="1:5" x14ac:dyDescent="0.25">
      <c r="A35" s="130" t="s">
        <v>266</v>
      </c>
      <c r="B35" s="140">
        <v>2</v>
      </c>
      <c r="C35" s="142" t="e">
        <f>INDEX(#REF!,MATCH(B35,#REF!,MATCH(A35,#REF!,0)))</f>
        <v>#REF!</v>
      </c>
      <c r="D35" s="141">
        <v>35</v>
      </c>
      <c r="E35" s="22"/>
    </row>
    <row r="36" spans="1:5" x14ac:dyDescent="0.25">
      <c r="A36" s="130" t="s">
        <v>266</v>
      </c>
      <c r="B36" s="140">
        <v>3</v>
      </c>
      <c r="C36" s="142" t="e">
        <f>INDEX(#REF!,MATCH(B36,#REF!,MATCH(A36,#REF!,0)))</f>
        <v>#REF!</v>
      </c>
      <c r="D36" s="141">
        <v>36</v>
      </c>
      <c r="E36" s="22"/>
    </row>
    <row r="37" spans="1:5" x14ac:dyDescent="0.25">
      <c r="A37" s="130" t="s">
        <v>266</v>
      </c>
      <c r="B37" s="140">
        <v>4</v>
      </c>
      <c r="C37" s="142" t="e">
        <f>INDEX(#REF!,MATCH(B37,#REF!,MATCH(A37,#REF!,0)))</f>
        <v>#REF!</v>
      </c>
      <c r="D37" s="141">
        <v>37</v>
      </c>
      <c r="E37" s="22"/>
    </row>
    <row r="38" spans="1:5" x14ac:dyDescent="0.25">
      <c r="A38" s="130" t="s">
        <v>266</v>
      </c>
      <c r="B38" s="140">
        <v>5</v>
      </c>
      <c r="C38" s="142" t="e">
        <f>INDEX(#REF!,MATCH(B38,#REF!,MATCH(A38,#REF!,0)))</f>
        <v>#REF!</v>
      </c>
      <c r="D38" s="141">
        <v>38</v>
      </c>
      <c r="E38" s="22"/>
    </row>
    <row r="39" spans="1:5" x14ac:dyDescent="0.25">
      <c r="A39" s="130" t="s">
        <v>266</v>
      </c>
      <c r="B39" s="140">
        <v>6</v>
      </c>
      <c r="C39" s="142" t="e">
        <f>INDEX(#REF!,MATCH(B39,#REF!,MATCH(A39,#REF!,0)))</f>
        <v>#REF!</v>
      </c>
      <c r="D39" s="141">
        <v>39</v>
      </c>
      <c r="E39" s="22"/>
    </row>
    <row r="40" spans="1:5" x14ac:dyDescent="0.25">
      <c r="A40" s="130" t="s">
        <v>266</v>
      </c>
      <c r="B40" s="140">
        <v>7</v>
      </c>
      <c r="C40" s="142" t="e">
        <f>INDEX(#REF!,MATCH(B40,#REF!,MATCH(A40,#REF!,0)))</f>
        <v>#REF!</v>
      </c>
      <c r="D40" s="141">
        <v>40</v>
      </c>
      <c r="E40" s="22"/>
    </row>
    <row r="41" spans="1:5" x14ac:dyDescent="0.25">
      <c r="A41" s="130" t="s">
        <v>266</v>
      </c>
      <c r="B41" s="140">
        <v>8</v>
      </c>
      <c r="C41" s="142" t="e">
        <f>INDEX(#REF!,MATCH(B41,#REF!,MATCH(A41,#REF!,0)))</f>
        <v>#REF!</v>
      </c>
      <c r="D41" s="141">
        <v>41</v>
      </c>
    </row>
    <row r="42" spans="1:5" x14ac:dyDescent="0.25">
      <c r="A42" s="130" t="s">
        <v>266</v>
      </c>
      <c r="B42" s="140">
        <v>9</v>
      </c>
      <c r="C42" s="142" t="e">
        <f>INDEX(#REF!,MATCH(B42,#REF!,MATCH(A42,#REF!,0)))</f>
        <v>#REF!</v>
      </c>
      <c r="D42" s="141">
        <v>42</v>
      </c>
    </row>
    <row r="43" spans="1:5" x14ac:dyDescent="0.25">
      <c r="A43" s="130" t="s">
        <v>266</v>
      </c>
      <c r="B43" s="140">
        <v>10</v>
      </c>
      <c r="C43" s="142" t="e">
        <f>INDEX(#REF!,MATCH(B43,#REF!,MATCH(A43,#REF!,0)))</f>
        <v>#REF!</v>
      </c>
      <c r="D43" s="141">
        <v>43</v>
      </c>
    </row>
    <row r="44" spans="1:5" x14ac:dyDescent="0.25">
      <c r="A44" s="130" t="s">
        <v>266</v>
      </c>
      <c r="B44" s="140">
        <v>11</v>
      </c>
      <c r="C44" s="142" t="e">
        <f>INDEX(#REF!,MATCH(B44,#REF!,MATCH(A44,#REF!,0)))</f>
        <v>#REF!</v>
      </c>
      <c r="D44" s="141">
        <v>44</v>
      </c>
    </row>
    <row r="45" spans="1:5" x14ac:dyDescent="0.25">
      <c r="A45" s="130" t="s">
        <v>266</v>
      </c>
      <c r="B45" s="140">
        <v>12</v>
      </c>
      <c r="C45" s="142" t="e">
        <f>INDEX(#REF!,MATCH(B45,#REF!,MATCH(A45,#REF!,0)))</f>
        <v>#REF!</v>
      </c>
      <c r="D45" s="141">
        <v>45</v>
      </c>
    </row>
    <row r="46" spans="1:5" x14ac:dyDescent="0.25">
      <c r="A46" s="130" t="s">
        <v>266</v>
      </c>
      <c r="B46" s="140">
        <v>13</v>
      </c>
      <c r="C46" s="142" t="e">
        <f>INDEX(#REF!,MATCH(B46,#REF!,MATCH(A46,#REF!,0)))</f>
        <v>#REF!</v>
      </c>
      <c r="D46" s="141">
        <v>46</v>
      </c>
    </row>
    <row r="47" spans="1:5" x14ac:dyDescent="0.25">
      <c r="A47" s="130" t="s">
        <v>266</v>
      </c>
      <c r="B47" s="140">
        <v>14</v>
      </c>
      <c r="C47" s="142" t="e">
        <f>INDEX(#REF!,MATCH(B47,#REF!,MATCH(A47,#REF!,0)))</f>
        <v>#REF!</v>
      </c>
      <c r="D47" s="141">
        <v>47</v>
      </c>
    </row>
    <row r="48" spans="1:5" x14ac:dyDescent="0.25">
      <c r="A48" s="130" t="s">
        <v>266</v>
      </c>
      <c r="B48" s="140">
        <v>15</v>
      </c>
      <c r="C48" s="142" t="e">
        <f>INDEX(#REF!,MATCH(B48,#REF!,MATCH(A48,#REF!,0)))</f>
        <v>#REF!</v>
      </c>
      <c r="D48" s="141">
        <v>48</v>
      </c>
    </row>
    <row r="49" spans="1:4" x14ac:dyDescent="0.25">
      <c r="A49" s="130" t="s">
        <v>266</v>
      </c>
      <c r="B49" s="140">
        <v>16</v>
      </c>
      <c r="C49" s="142" t="e">
        <f>INDEX(#REF!,MATCH(B49,#REF!,MATCH(A49,#REF!,0)))</f>
        <v>#REF!</v>
      </c>
      <c r="D49" s="141">
        <v>49</v>
      </c>
    </row>
    <row r="50" spans="1:4" x14ac:dyDescent="0.25">
      <c r="A50" s="130" t="s">
        <v>266</v>
      </c>
      <c r="B50" s="140">
        <v>17</v>
      </c>
      <c r="C50" s="142" t="e">
        <f>INDEX(#REF!,MATCH(B50,#REF!,MATCH(A50,#REF!,0)))</f>
        <v>#REF!</v>
      </c>
      <c r="D50" s="141">
        <v>50</v>
      </c>
    </row>
    <row r="51" spans="1:4" x14ac:dyDescent="0.25">
      <c r="A51" s="130" t="s">
        <v>266</v>
      </c>
      <c r="B51" s="140">
        <v>18</v>
      </c>
      <c r="C51" s="142" t="e">
        <f>INDEX(#REF!,MATCH(B51,#REF!,MATCH(A51,#REF!,0)))</f>
        <v>#REF!</v>
      </c>
      <c r="D51" s="141">
        <v>51</v>
      </c>
    </row>
    <row r="52" spans="1:4" x14ac:dyDescent="0.25">
      <c r="A52" s="130" t="s">
        <v>266</v>
      </c>
      <c r="B52" s="140">
        <v>19</v>
      </c>
      <c r="C52" s="142" t="e">
        <f>INDEX(#REF!,MATCH(B52,#REF!,MATCH(A52,#REF!,0)))</f>
        <v>#REF!</v>
      </c>
      <c r="D52" s="141">
        <v>52</v>
      </c>
    </row>
    <row r="53" spans="1:4" x14ac:dyDescent="0.25">
      <c r="A53" s="130" t="s">
        <v>266</v>
      </c>
      <c r="B53" s="140">
        <v>20</v>
      </c>
      <c r="C53" s="142" t="e">
        <f>INDEX(#REF!,MATCH(B53,#REF!,MATCH(A53,#REF!,0)))</f>
        <v>#REF!</v>
      </c>
      <c r="D53" s="141">
        <v>53</v>
      </c>
    </row>
    <row r="54" spans="1:4" x14ac:dyDescent="0.25">
      <c r="A54" s="130" t="s">
        <v>266</v>
      </c>
      <c r="B54" s="140">
        <v>21</v>
      </c>
      <c r="C54" s="142" t="e">
        <f>INDEX(#REF!,MATCH(B54,#REF!,MATCH(A54,#REF!,0)))</f>
        <v>#REF!</v>
      </c>
      <c r="D54" s="141">
        <v>54</v>
      </c>
    </row>
    <row r="55" spans="1:4" x14ac:dyDescent="0.25">
      <c r="A55" s="130" t="s">
        <v>266</v>
      </c>
      <c r="B55" s="140">
        <v>22</v>
      </c>
      <c r="C55" s="142" t="e">
        <f>INDEX(#REF!,MATCH(B55,#REF!,MATCH(A55,#REF!,0)))</f>
        <v>#REF!</v>
      </c>
      <c r="D55" s="141">
        <v>55</v>
      </c>
    </row>
    <row r="56" spans="1:4" x14ac:dyDescent="0.25">
      <c r="A56" s="130" t="s">
        <v>266</v>
      </c>
      <c r="B56" s="140">
        <v>23</v>
      </c>
      <c r="C56" s="142" t="e">
        <f>INDEX(#REF!,MATCH(B56,#REF!,MATCH(A56,#REF!,0)))</f>
        <v>#REF!</v>
      </c>
      <c r="D56" s="141">
        <v>56</v>
      </c>
    </row>
    <row r="57" spans="1:4" x14ac:dyDescent="0.25">
      <c r="A57" s="130" t="s">
        <v>266</v>
      </c>
      <c r="B57" s="140">
        <v>24</v>
      </c>
      <c r="C57" s="142" t="e">
        <f>INDEX(#REF!,MATCH(B57,#REF!,MATCH(A57,#REF!,0)))</f>
        <v>#REF!</v>
      </c>
      <c r="D57" s="141">
        <v>57</v>
      </c>
    </row>
    <row r="58" spans="1:4" x14ac:dyDescent="0.25">
      <c r="A58" s="130" t="s">
        <v>266</v>
      </c>
      <c r="B58" s="140">
        <v>25</v>
      </c>
      <c r="C58" s="142" t="e">
        <f>INDEX(#REF!,MATCH(B58,#REF!,MATCH(A58,#REF!,0)))</f>
        <v>#REF!</v>
      </c>
      <c r="D58" s="141">
        <v>58</v>
      </c>
    </row>
    <row r="59" spans="1:4" x14ac:dyDescent="0.25">
      <c r="A59" s="130" t="s">
        <v>266</v>
      </c>
      <c r="B59" s="140">
        <v>26</v>
      </c>
      <c r="C59" s="142" t="e">
        <f>INDEX(#REF!,MATCH(B59,#REF!,MATCH(A59,#REF!,0)))</f>
        <v>#REF!</v>
      </c>
      <c r="D59" s="141">
        <v>59</v>
      </c>
    </row>
    <row r="60" spans="1:4" x14ac:dyDescent="0.25">
      <c r="A60" s="130" t="s">
        <v>266</v>
      </c>
      <c r="B60" s="140">
        <v>27</v>
      </c>
      <c r="C60" s="142" t="e">
        <f>INDEX(#REF!,MATCH(B60,#REF!,MATCH(A60,#REF!,0)))</f>
        <v>#REF!</v>
      </c>
      <c r="D60" s="141">
        <v>60</v>
      </c>
    </row>
    <row r="61" spans="1:4" x14ac:dyDescent="0.25">
      <c r="A61" s="130" t="s">
        <v>266</v>
      </c>
      <c r="B61" s="140">
        <v>28</v>
      </c>
      <c r="C61" s="142" t="e">
        <f>INDEX(#REF!,MATCH(B61,#REF!,MATCH(A61,#REF!,0)))</f>
        <v>#REF!</v>
      </c>
      <c r="D61" s="141">
        <v>61</v>
      </c>
    </row>
    <row r="62" spans="1:4" x14ac:dyDescent="0.25">
      <c r="A62" s="130" t="s">
        <v>266</v>
      </c>
      <c r="B62" s="140">
        <v>29</v>
      </c>
      <c r="C62" s="142" t="e">
        <f>INDEX(#REF!,MATCH(B62,#REF!,MATCH(A62,#REF!,0)))</f>
        <v>#REF!</v>
      </c>
      <c r="D62" s="141">
        <v>62</v>
      </c>
    </row>
    <row r="63" spans="1:4" x14ac:dyDescent="0.25">
      <c r="A63" s="130" t="s">
        <v>266</v>
      </c>
      <c r="B63" s="140">
        <v>30</v>
      </c>
      <c r="C63" s="142" t="e">
        <f>INDEX(#REF!,MATCH(B63,#REF!,MATCH(A63,#REF!,0)))</f>
        <v>#REF!</v>
      </c>
      <c r="D63" s="141">
        <v>63</v>
      </c>
    </row>
    <row r="64" spans="1:4" x14ac:dyDescent="0.25">
      <c r="A64" s="130" t="s">
        <v>267</v>
      </c>
      <c r="B64" s="140">
        <v>0</v>
      </c>
      <c r="C64" s="142" t="e">
        <f>INDEX(#REF!,MATCH(B64,#REF!,MATCH(A64,#REF!,0)))</f>
        <v>#REF!</v>
      </c>
      <c r="D64" s="141">
        <v>64</v>
      </c>
    </row>
    <row r="65" spans="1:4" x14ac:dyDescent="0.25">
      <c r="A65" s="130" t="s">
        <v>267</v>
      </c>
      <c r="B65" s="140">
        <v>1</v>
      </c>
      <c r="C65" s="142" t="e">
        <f>INDEX(#REF!,MATCH(B65,#REF!,MATCH(A65,#REF!,0)))</f>
        <v>#REF!</v>
      </c>
      <c r="D65" s="141">
        <v>65</v>
      </c>
    </row>
    <row r="66" spans="1:4" x14ac:dyDescent="0.25">
      <c r="A66" s="130" t="s">
        <v>267</v>
      </c>
      <c r="B66" s="140">
        <v>2</v>
      </c>
      <c r="C66" s="142" t="e">
        <f>INDEX(#REF!,MATCH(B66,#REF!,MATCH(A66,#REF!,0)))</f>
        <v>#REF!</v>
      </c>
      <c r="D66" s="141">
        <v>66</v>
      </c>
    </row>
    <row r="67" spans="1:4" x14ac:dyDescent="0.25">
      <c r="A67" s="130" t="s">
        <v>267</v>
      </c>
      <c r="B67" s="140">
        <v>3</v>
      </c>
      <c r="C67" s="142" t="e">
        <f>INDEX(#REF!,MATCH(B67,#REF!,MATCH(A67,#REF!,0)))</f>
        <v>#REF!</v>
      </c>
      <c r="D67" s="141">
        <v>67</v>
      </c>
    </row>
    <row r="68" spans="1:4" x14ac:dyDescent="0.25">
      <c r="A68" s="130" t="s">
        <v>267</v>
      </c>
      <c r="B68" s="140">
        <v>4</v>
      </c>
      <c r="C68" s="142" t="e">
        <f>INDEX(#REF!,MATCH(B68,#REF!,MATCH(A68,#REF!,0)))</f>
        <v>#REF!</v>
      </c>
      <c r="D68" s="141">
        <v>68</v>
      </c>
    </row>
    <row r="69" spans="1:4" x14ac:dyDescent="0.25">
      <c r="A69" s="130" t="s">
        <v>267</v>
      </c>
      <c r="B69" s="140">
        <v>5</v>
      </c>
      <c r="C69" s="142" t="e">
        <f>INDEX(#REF!,MATCH(B69,#REF!,MATCH(A69,#REF!,0)))</f>
        <v>#REF!</v>
      </c>
      <c r="D69" s="141">
        <v>69</v>
      </c>
    </row>
    <row r="70" spans="1:4" x14ac:dyDescent="0.25">
      <c r="A70" s="130" t="s">
        <v>267</v>
      </c>
      <c r="B70" s="140">
        <v>6</v>
      </c>
      <c r="C70" s="142" t="e">
        <f>INDEX(#REF!,MATCH(B70,#REF!,MATCH(A70,#REF!,0)))</f>
        <v>#REF!</v>
      </c>
      <c r="D70" s="141">
        <v>70</v>
      </c>
    </row>
    <row r="71" spans="1:4" x14ac:dyDescent="0.25">
      <c r="A71" s="130" t="s">
        <v>267</v>
      </c>
      <c r="B71" s="140">
        <v>7</v>
      </c>
      <c r="C71" s="142" t="e">
        <f>INDEX(#REF!,MATCH(B71,#REF!,MATCH(A71,#REF!,0)))</f>
        <v>#REF!</v>
      </c>
      <c r="D71" s="141">
        <v>71</v>
      </c>
    </row>
    <row r="72" spans="1:4" x14ac:dyDescent="0.25">
      <c r="A72" s="130" t="s">
        <v>267</v>
      </c>
      <c r="B72" s="140">
        <v>8</v>
      </c>
      <c r="C72" s="142" t="e">
        <f>INDEX(#REF!,MATCH(B72,#REF!,MATCH(A72,#REF!,0)))</f>
        <v>#REF!</v>
      </c>
      <c r="D72" s="141">
        <v>72</v>
      </c>
    </row>
    <row r="73" spans="1:4" x14ac:dyDescent="0.25">
      <c r="A73" s="130" t="s">
        <v>267</v>
      </c>
      <c r="B73" s="140">
        <v>9</v>
      </c>
      <c r="C73" s="142" t="e">
        <f>INDEX(#REF!,MATCH(B73,#REF!,MATCH(A73,#REF!,0)))</f>
        <v>#REF!</v>
      </c>
      <c r="D73" s="141">
        <v>73</v>
      </c>
    </row>
    <row r="74" spans="1:4" x14ac:dyDescent="0.25">
      <c r="A74" s="130" t="s">
        <v>267</v>
      </c>
      <c r="B74" s="140">
        <v>10</v>
      </c>
      <c r="C74" s="142" t="e">
        <f>INDEX(#REF!,MATCH(B74,#REF!,MATCH(A74,#REF!,0)))</f>
        <v>#REF!</v>
      </c>
      <c r="D74" s="141">
        <v>74</v>
      </c>
    </row>
    <row r="75" spans="1:4" x14ac:dyDescent="0.25">
      <c r="A75" s="130" t="s">
        <v>267</v>
      </c>
      <c r="B75" s="140">
        <v>11</v>
      </c>
      <c r="C75" s="142" t="e">
        <f>INDEX(#REF!,MATCH(B75,#REF!,MATCH(A75,#REF!,0)))</f>
        <v>#REF!</v>
      </c>
      <c r="D75" s="141">
        <v>75</v>
      </c>
    </row>
    <row r="76" spans="1:4" x14ac:dyDescent="0.25">
      <c r="A76" s="130" t="s">
        <v>267</v>
      </c>
      <c r="B76" s="140">
        <v>12</v>
      </c>
      <c r="C76" s="142" t="e">
        <f>INDEX(#REF!,MATCH(B76,#REF!,MATCH(A76,#REF!,0)))</f>
        <v>#REF!</v>
      </c>
      <c r="D76" s="141">
        <v>76</v>
      </c>
    </row>
    <row r="77" spans="1:4" x14ac:dyDescent="0.25">
      <c r="A77" s="130" t="s">
        <v>267</v>
      </c>
      <c r="B77" s="140">
        <v>13</v>
      </c>
      <c r="C77" s="142" t="e">
        <f>INDEX(#REF!,MATCH(B77,#REF!,MATCH(A77,#REF!,0)))</f>
        <v>#REF!</v>
      </c>
      <c r="D77" s="141">
        <v>77</v>
      </c>
    </row>
    <row r="78" spans="1:4" x14ac:dyDescent="0.25">
      <c r="A78" s="130" t="s">
        <v>267</v>
      </c>
      <c r="B78" s="140">
        <v>14</v>
      </c>
      <c r="C78" s="142" t="e">
        <f>INDEX(#REF!,MATCH(B78,#REF!,MATCH(A78,#REF!,0)))</f>
        <v>#REF!</v>
      </c>
      <c r="D78" s="141">
        <v>78</v>
      </c>
    </row>
    <row r="79" spans="1:4" x14ac:dyDescent="0.25">
      <c r="A79" s="130" t="s">
        <v>267</v>
      </c>
      <c r="B79" s="140">
        <v>15</v>
      </c>
      <c r="C79" s="142" t="e">
        <f>INDEX(#REF!,MATCH(B79,#REF!,MATCH(A79,#REF!,0)))</f>
        <v>#REF!</v>
      </c>
      <c r="D79" s="141">
        <v>79</v>
      </c>
    </row>
    <row r="80" spans="1:4" x14ac:dyDescent="0.25">
      <c r="A80" s="130" t="s">
        <v>267</v>
      </c>
      <c r="B80" s="140">
        <v>16</v>
      </c>
      <c r="C80" s="142" t="e">
        <f>INDEX(#REF!,MATCH(B80,#REF!,MATCH(A80,#REF!,0)))</f>
        <v>#REF!</v>
      </c>
      <c r="D80" s="141">
        <v>80</v>
      </c>
    </row>
    <row r="81" spans="1:4" x14ac:dyDescent="0.25">
      <c r="A81" s="130" t="s">
        <v>267</v>
      </c>
      <c r="B81" s="140">
        <v>17</v>
      </c>
      <c r="C81" s="142" t="e">
        <f>INDEX(#REF!,MATCH(B81,#REF!,MATCH(A81,#REF!,0)))</f>
        <v>#REF!</v>
      </c>
      <c r="D81" s="141">
        <v>81</v>
      </c>
    </row>
    <row r="82" spans="1:4" x14ac:dyDescent="0.25">
      <c r="A82" s="130" t="s">
        <v>267</v>
      </c>
      <c r="B82" s="140">
        <v>18</v>
      </c>
      <c r="C82" s="142" t="e">
        <f>INDEX(#REF!,MATCH(B82,#REF!,MATCH(A82,#REF!,0)))</f>
        <v>#REF!</v>
      </c>
      <c r="D82" s="141">
        <v>82</v>
      </c>
    </row>
    <row r="83" spans="1:4" x14ac:dyDescent="0.25">
      <c r="A83" s="130" t="s">
        <v>267</v>
      </c>
      <c r="B83" s="140">
        <v>19</v>
      </c>
      <c r="C83" s="142" t="e">
        <f>INDEX(#REF!,MATCH(B83,#REF!,MATCH(A83,#REF!,0)))</f>
        <v>#REF!</v>
      </c>
      <c r="D83" s="141">
        <v>83</v>
      </c>
    </row>
    <row r="84" spans="1:4" x14ac:dyDescent="0.25">
      <c r="A84" s="130" t="s">
        <v>267</v>
      </c>
      <c r="B84" s="140">
        <v>20</v>
      </c>
      <c r="C84" s="142" t="e">
        <f>INDEX(#REF!,MATCH(B84,#REF!,MATCH(A84,#REF!,0)))</f>
        <v>#REF!</v>
      </c>
      <c r="D84" s="141">
        <v>84</v>
      </c>
    </row>
    <row r="85" spans="1:4" x14ac:dyDescent="0.25">
      <c r="A85" s="130" t="s">
        <v>267</v>
      </c>
      <c r="B85" s="140">
        <v>21</v>
      </c>
      <c r="C85" s="142" t="e">
        <f>INDEX(#REF!,MATCH(B85,#REF!,MATCH(A85,#REF!,0)))</f>
        <v>#REF!</v>
      </c>
      <c r="D85" s="141">
        <v>85</v>
      </c>
    </row>
    <row r="86" spans="1:4" x14ac:dyDescent="0.25">
      <c r="A86" s="130" t="s">
        <v>267</v>
      </c>
      <c r="B86" s="140">
        <v>22</v>
      </c>
      <c r="C86" s="142" t="e">
        <f>INDEX(#REF!,MATCH(B86,#REF!,MATCH(A86,#REF!,0)))</f>
        <v>#REF!</v>
      </c>
      <c r="D86" s="141">
        <v>86</v>
      </c>
    </row>
    <row r="87" spans="1:4" x14ac:dyDescent="0.25">
      <c r="A87" s="130" t="s">
        <v>267</v>
      </c>
      <c r="B87" s="140">
        <v>23</v>
      </c>
      <c r="C87" s="142" t="e">
        <f>INDEX(#REF!,MATCH(B87,#REF!,MATCH(A87,#REF!,0)))</f>
        <v>#REF!</v>
      </c>
      <c r="D87" s="141">
        <v>87</v>
      </c>
    </row>
    <row r="88" spans="1:4" x14ac:dyDescent="0.25">
      <c r="A88" s="130" t="s">
        <v>267</v>
      </c>
      <c r="B88" s="140">
        <v>24</v>
      </c>
      <c r="C88" s="142" t="e">
        <f>INDEX(#REF!,MATCH(B88,#REF!,MATCH(A88,#REF!,0)))</f>
        <v>#REF!</v>
      </c>
      <c r="D88" s="141">
        <v>88</v>
      </c>
    </row>
    <row r="89" spans="1:4" x14ac:dyDescent="0.25">
      <c r="A89" s="130" t="s">
        <v>267</v>
      </c>
      <c r="B89" s="140">
        <v>25</v>
      </c>
      <c r="C89" s="142" t="e">
        <f>INDEX(#REF!,MATCH(B89,#REF!,MATCH(A89,#REF!,0)))</f>
        <v>#REF!</v>
      </c>
      <c r="D89" s="141">
        <v>89</v>
      </c>
    </row>
    <row r="90" spans="1:4" x14ac:dyDescent="0.25">
      <c r="A90" s="130" t="s">
        <v>267</v>
      </c>
      <c r="B90" s="140">
        <v>26</v>
      </c>
      <c r="C90" s="142" t="e">
        <f>INDEX(#REF!,MATCH(B90,#REF!,MATCH(A90,#REF!,0)))</f>
        <v>#REF!</v>
      </c>
      <c r="D90" s="141">
        <v>90</v>
      </c>
    </row>
    <row r="91" spans="1:4" x14ac:dyDescent="0.25">
      <c r="A91" s="130" t="s">
        <v>267</v>
      </c>
      <c r="B91" s="140">
        <v>27</v>
      </c>
      <c r="C91" s="142" t="e">
        <f>INDEX(#REF!,MATCH(B91,#REF!,MATCH(A91,#REF!,0)))</f>
        <v>#REF!</v>
      </c>
      <c r="D91" s="141">
        <v>91</v>
      </c>
    </row>
    <row r="92" spans="1:4" x14ac:dyDescent="0.25">
      <c r="A92" s="130" t="s">
        <v>267</v>
      </c>
      <c r="B92" s="140">
        <v>28</v>
      </c>
      <c r="C92" s="142" t="e">
        <f>INDEX(#REF!,MATCH(B92,#REF!,MATCH(A92,#REF!,0)))</f>
        <v>#REF!</v>
      </c>
      <c r="D92" s="141">
        <v>92</v>
      </c>
    </row>
    <row r="93" spans="1:4" x14ac:dyDescent="0.25">
      <c r="A93" s="130" t="s">
        <v>267</v>
      </c>
      <c r="B93" s="140">
        <v>29</v>
      </c>
      <c r="C93" s="142" t="e">
        <f>INDEX(#REF!,MATCH(B93,#REF!,MATCH(A93,#REF!,0)))</f>
        <v>#REF!</v>
      </c>
      <c r="D93" s="141">
        <v>93</v>
      </c>
    </row>
    <row r="94" spans="1:4" x14ac:dyDescent="0.25">
      <c r="A94" s="130" t="s">
        <v>267</v>
      </c>
      <c r="B94" s="140">
        <v>30</v>
      </c>
      <c r="C94" s="142" t="e">
        <f>INDEX(#REF!,MATCH(B94,#REF!,MATCH(A94,#REF!,0)))</f>
        <v>#REF!</v>
      </c>
      <c r="D94" s="141">
        <v>94</v>
      </c>
    </row>
    <row r="95" spans="1:4" x14ac:dyDescent="0.25">
      <c r="A95" s="130" t="s">
        <v>268</v>
      </c>
      <c r="B95" s="140">
        <v>0</v>
      </c>
      <c r="C95" s="142" t="e">
        <f>INDEX(#REF!,MATCH(B95,#REF!,MATCH(A95,#REF!,0)))</f>
        <v>#REF!</v>
      </c>
      <c r="D95" s="141">
        <v>95</v>
      </c>
    </row>
    <row r="96" spans="1:4" x14ac:dyDescent="0.25">
      <c r="A96" s="130" t="s">
        <v>268</v>
      </c>
      <c r="B96" s="140">
        <v>1</v>
      </c>
      <c r="C96" s="142" t="e">
        <f>INDEX(#REF!,MATCH(B96,#REF!,MATCH(A96,#REF!,0)))</f>
        <v>#REF!</v>
      </c>
      <c r="D96" s="141">
        <v>96</v>
      </c>
    </row>
    <row r="97" spans="1:8" x14ac:dyDescent="0.25">
      <c r="A97" s="130" t="s">
        <v>268</v>
      </c>
      <c r="B97" s="140">
        <v>2</v>
      </c>
      <c r="C97" s="142" t="e">
        <f>INDEX(#REF!,MATCH(B97,#REF!,MATCH(A97,#REF!,0)))</f>
        <v>#REF!</v>
      </c>
      <c r="D97" s="141">
        <v>97</v>
      </c>
    </row>
    <row r="98" spans="1:8" x14ac:dyDescent="0.25">
      <c r="A98" s="130" t="s">
        <v>268</v>
      </c>
      <c r="B98" s="140">
        <v>3</v>
      </c>
      <c r="C98" s="142" t="e">
        <f>INDEX(#REF!,MATCH(B98,#REF!,MATCH(A98,#REF!,0)))</f>
        <v>#REF!</v>
      </c>
      <c r="D98" s="141">
        <v>98</v>
      </c>
    </row>
    <row r="99" spans="1:8" x14ac:dyDescent="0.25">
      <c r="A99" s="130" t="s">
        <v>268</v>
      </c>
      <c r="B99" s="140">
        <v>4</v>
      </c>
      <c r="C99" s="142" t="e">
        <f>INDEX(#REF!,MATCH(B99,#REF!,MATCH(A99,#REF!,0)))</f>
        <v>#REF!</v>
      </c>
      <c r="D99" s="141">
        <v>99</v>
      </c>
    </row>
    <row r="100" spans="1:8" x14ac:dyDescent="0.25">
      <c r="A100" s="130" t="s">
        <v>268</v>
      </c>
      <c r="B100" s="140">
        <v>5</v>
      </c>
      <c r="C100" s="142" t="e">
        <f>INDEX(#REF!,MATCH(B100,#REF!,MATCH(A100,#REF!,0)))</f>
        <v>#REF!</v>
      </c>
      <c r="D100" s="141">
        <v>100</v>
      </c>
    </row>
    <row r="101" spans="1:8" x14ac:dyDescent="0.25">
      <c r="A101" s="130" t="s">
        <v>268</v>
      </c>
      <c r="B101" s="140">
        <v>6</v>
      </c>
      <c r="C101" s="142" t="e">
        <f>INDEX(#REF!,MATCH(B101,#REF!,MATCH(A101,#REF!,0)))</f>
        <v>#REF!</v>
      </c>
      <c r="D101" s="141">
        <v>101</v>
      </c>
      <c r="F101" s="114"/>
      <c r="G101" s="114"/>
      <c r="H101" s="114"/>
    </row>
    <row r="102" spans="1:8" x14ac:dyDescent="0.25">
      <c r="A102" s="130" t="s">
        <v>268</v>
      </c>
      <c r="B102" s="140">
        <v>7</v>
      </c>
      <c r="C102" s="142" t="e">
        <f>INDEX(#REF!,MATCH(B102,#REF!,MATCH(A102,#REF!,0)))</f>
        <v>#REF!</v>
      </c>
      <c r="D102" s="141">
        <v>102</v>
      </c>
      <c r="F102" s="114"/>
      <c r="G102" s="114"/>
      <c r="H102" s="114"/>
    </row>
    <row r="103" spans="1:8" x14ac:dyDescent="0.25">
      <c r="A103" s="130" t="s">
        <v>268</v>
      </c>
      <c r="B103" s="140">
        <v>8</v>
      </c>
      <c r="C103" s="142" t="e">
        <f>INDEX(#REF!,MATCH(B103,#REF!,MATCH(A103,#REF!,0)))</f>
        <v>#REF!</v>
      </c>
      <c r="D103" s="141">
        <v>103</v>
      </c>
      <c r="F103" s="114"/>
      <c r="G103" s="114"/>
      <c r="H103" s="114"/>
    </row>
    <row r="104" spans="1:8" x14ac:dyDescent="0.25">
      <c r="A104" s="130" t="s">
        <v>268</v>
      </c>
      <c r="B104" s="140">
        <v>9</v>
      </c>
      <c r="C104" s="142" t="e">
        <f>INDEX(#REF!,MATCH(B104,#REF!,MATCH(A104,#REF!,0)))</f>
        <v>#REF!</v>
      </c>
      <c r="D104" s="141">
        <v>104</v>
      </c>
    </row>
    <row r="105" spans="1:8" x14ac:dyDescent="0.25">
      <c r="A105" s="130" t="s">
        <v>268</v>
      </c>
      <c r="B105" s="140">
        <v>10</v>
      </c>
      <c r="C105" s="142" t="e">
        <f>INDEX(#REF!,MATCH(B105,#REF!,MATCH(A105,#REF!,0)))</f>
        <v>#REF!</v>
      </c>
      <c r="D105" s="141">
        <v>105</v>
      </c>
    </row>
    <row r="106" spans="1:8" x14ac:dyDescent="0.25">
      <c r="A106" s="130" t="s">
        <v>268</v>
      </c>
      <c r="B106" s="140">
        <v>11</v>
      </c>
      <c r="C106" s="142" t="e">
        <f>INDEX(#REF!,MATCH(B106,#REF!,MATCH(A106,#REF!,0)))</f>
        <v>#REF!</v>
      </c>
      <c r="D106" s="141">
        <v>106</v>
      </c>
    </row>
    <row r="107" spans="1:8" x14ac:dyDescent="0.25">
      <c r="A107" s="130" t="s">
        <v>268</v>
      </c>
      <c r="B107" s="140">
        <v>12</v>
      </c>
      <c r="C107" s="142" t="e">
        <f>INDEX(#REF!,MATCH(B107,#REF!,MATCH(A107,#REF!,0)))</f>
        <v>#REF!</v>
      </c>
      <c r="D107" s="141">
        <v>107</v>
      </c>
    </row>
    <row r="108" spans="1:8" x14ac:dyDescent="0.25">
      <c r="A108" s="130" t="s">
        <v>268</v>
      </c>
      <c r="B108" s="140">
        <v>13</v>
      </c>
      <c r="C108" s="142" t="e">
        <f>INDEX(#REF!,MATCH(B108,#REF!,MATCH(A108,#REF!,0)))</f>
        <v>#REF!</v>
      </c>
      <c r="D108" s="141">
        <v>108</v>
      </c>
    </row>
    <row r="109" spans="1:8" x14ac:dyDescent="0.25">
      <c r="A109" s="130" t="s">
        <v>268</v>
      </c>
      <c r="B109" s="140">
        <v>14</v>
      </c>
      <c r="C109" s="142" t="e">
        <f>INDEX(#REF!,MATCH(B109,#REF!,MATCH(A109,#REF!,0)))</f>
        <v>#REF!</v>
      </c>
      <c r="D109" s="141">
        <v>109</v>
      </c>
    </row>
    <row r="110" spans="1:8" x14ac:dyDescent="0.25">
      <c r="A110" s="130" t="s">
        <v>268</v>
      </c>
      <c r="B110" s="140">
        <v>15</v>
      </c>
      <c r="C110" s="142" t="e">
        <f>INDEX(#REF!,MATCH(B110,#REF!,MATCH(A110,#REF!,0)))</f>
        <v>#REF!</v>
      </c>
      <c r="D110" s="141">
        <v>110</v>
      </c>
    </row>
    <row r="111" spans="1:8" x14ac:dyDescent="0.25">
      <c r="A111" s="130" t="s">
        <v>268</v>
      </c>
      <c r="B111" s="140">
        <v>16</v>
      </c>
      <c r="C111" s="142" t="e">
        <f>INDEX(#REF!,MATCH(B111,#REF!,MATCH(A111,#REF!,0)))</f>
        <v>#REF!</v>
      </c>
      <c r="D111" s="141">
        <v>111</v>
      </c>
    </row>
    <row r="112" spans="1:8" x14ac:dyDescent="0.25">
      <c r="A112" s="130" t="s">
        <v>268</v>
      </c>
      <c r="B112" s="140">
        <v>17</v>
      </c>
      <c r="C112" s="142" t="e">
        <f>INDEX(#REF!,MATCH(B112,#REF!,MATCH(A112,#REF!,0)))</f>
        <v>#REF!</v>
      </c>
      <c r="D112" s="141">
        <v>112</v>
      </c>
    </row>
    <row r="113" spans="1:4" x14ac:dyDescent="0.25">
      <c r="A113" s="130" t="s">
        <v>268</v>
      </c>
      <c r="B113" s="140">
        <v>18</v>
      </c>
      <c r="C113" s="142" t="e">
        <f>INDEX(#REF!,MATCH(B113,#REF!,MATCH(A113,#REF!,0)))</f>
        <v>#REF!</v>
      </c>
      <c r="D113" s="141">
        <v>113</v>
      </c>
    </row>
    <row r="114" spans="1:4" x14ac:dyDescent="0.25">
      <c r="A114" s="130" t="s">
        <v>268</v>
      </c>
      <c r="B114" s="140">
        <v>19</v>
      </c>
      <c r="C114" s="142" t="e">
        <f>INDEX(#REF!,MATCH(B114,#REF!,MATCH(A114,#REF!,0)))</f>
        <v>#REF!</v>
      </c>
      <c r="D114" s="141">
        <v>114</v>
      </c>
    </row>
    <row r="115" spans="1:4" x14ac:dyDescent="0.25">
      <c r="A115" s="130" t="s">
        <v>268</v>
      </c>
      <c r="B115" s="140">
        <v>20</v>
      </c>
      <c r="C115" s="142" t="e">
        <f>INDEX(#REF!,MATCH(B115,#REF!,MATCH(A115,#REF!,0)))</f>
        <v>#REF!</v>
      </c>
      <c r="D115" s="141">
        <v>115</v>
      </c>
    </row>
    <row r="116" spans="1:4" x14ac:dyDescent="0.25">
      <c r="A116" s="130" t="s">
        <v>268</v>
      </c>
      <c r="B116" s="140">
        <v>21</v>
      </c>
      <c r="C116" s="142" t="e">
        <f>INDEX(#REF!,MATCH(B116,#REF!,MATCH(A116,#REF!,0)))</f>
        <v>#REF!</v>
      </c>
      <c r="D116" s="141">
        <v>116</v>
      </c>
    </row>
    <row r="117" spans="1:4" x14ac:dyDescent="0.25">
      <c r="A117" s="130" t="s">
        <v>268</v>
      </c>
      <c r="B117" s="140">
        <v>22</v>
      </c>
      <c r="C117" s="142" t="e">
        <f>INDEX(#REF!,MATCH(B117,#REF!,MATCH(A117,#REF!,0)))</f>
        <v>#REF!</v>
      </c>
      <c r="D117" s="141">
        <v>117</v>
      </c>
    </row>
    <row r="118" spans="1:4" x14ac:dyDescent="0.25">
      <c r="A118" s="130" t="s">
        <v>268</v>
      </c>
      <c r="B118" s="140">
        <v>23</v>
      </c>
      <c r="C118" s="142" t="e">
        <f>INDEX(#REF!,MATCH(B118,#REF!,MATCH(A118,#REF!,0)))</f>
        <v>#REF!</v>
      </c>
      <c r="D118" s="141">
        <v>118</v>
      </c>
    </row>
    <row r="119" spans="1:4" x14ac:dyDescent="0.25">
      <c r="A119" s="130" t="s">
        <v>268</v>
      </c>
      <c r="B119" s="140">
        <v>24</v>
      </c>
      <c r="C119" s="142" t="e">
        <f>INDEX(#REF!,MATCH(B119,#REF!,MATCH(A119,#REF!,0)))</f>
        <v>#REF!</v>
      </c>
      <c r="D119" s="141">
        <v>119</v>
      </c>
    </row>
    <row r="120" spans="1:4" x14ac:dyDescent="0.25">
      <c r="A120" s="130" t="s">
        <v>268</v>
      </c>
      <c r="B120" s="140">
        <v>25</v>
      </c>
      <c r="C120" s="142" t="e">
        <f>INDEX(#REF!,MATCH(B120,#REF!,MATCH(A120,#REF!,0)))</f>
        <v>#REF!</v>
      </c>
      <c r="D120" s="141">
        <v>120</v>
      </c>
    </row>
    <row r="121" spans="1:4" x14ac:dyDescent="0.25">
      <c r="A121" s="130" t="s">
        <v>268</v>
      </c>
      <c r="B121" s="140">
        <v>26</v>
      </c>
      <c r="C121" s="142" t="e">
        <f>INDEX(#REF!,MATCH(B121,#REF!,MATCH(A121,#REF!,0)))</f>
        <v>#REF!</v>
      </c>
      <c r="D121" s="141">
        <v>121</v>
      </c>
    </row>
    <row r="122" spans="1:4" x14ac:dyDescent="0.25">
      <c r="A122" s="130" t="s">
        <v>268</v>
      </c>
      <c r="B122" s="140">
        <v>27</v>
      </c>
      <c r="C122" s="142" t="e">
        <f>INDEX(#REF!,MATCH(B122,#REF!,MATCH(A122,#REF!,0)))</f>
        <v>#REF!</v>
      </c>
      <c r="D122" s="141">
        <v>122</v>
      </c>
    </row>
    <row r="123" spans="1:4" x14ac:dyDescent="0.25">
      <c r="A123" s="130" t="s">
        <v>268</v>
      </c>
      <c r="B123" s="140">
        <v>28</v>
      </c>
      <c r="C123" s="142" t="e">
        <f>INDEX(#REF!,MATCH(B123,#REF!,MATCH(A123,#REF!,0)))</f>
        <v>#REF!</v>
      </c>
      <c r="D123" s="141">
        <v>123</v>
      </c>
    </row>
    <row r="124" spans="1:4" x14ac:dyDescent="0.25">
      <c r="A124" s="130" t="s">
        <v>268</v>
      </c>
      <c r="B124" s="140">
        <v>29</v>
      </c>
      <c r="C124" s="142" t="e">
        <f>INDEX(#REF!,MATCH(B124,#REF!,MATCH(A124,#REF!,0)))</f>
        <v>#REF!</v>
      </c>
      <c r="D124" s="141">
        <v>124</v>
      </c>
    </row>
    <row r="125" spans="1:4" x14ac:dyDescent="0.25">
      <c r="A125" s="130" t="s">
        <v>268</v>
      </c>
      <c r="B125" s="140">
        <v>30</v>
      </c>
      <c r="C125" s="142" t="e">
        <f>INDEX(#REF!,MATCH(B125,#REF!,MATCH(A125,#REF!,0)))</f>
        <v>#REF!</v>
      </c>
      <c r="D125" s="141">
        <v>125</v>
      </c>
    </row>
    <row r="126" spans="1:4" x14ac:dyDescent="0.25">
      <c r="A126" s="130" t="s">
        <v>269</v>
      </c>
      <c r="B126" s="140">
        <v>0</v>
      </c>
      <c r="C126" s="142" t="e">
        <f>INDEX(#REF!,MATCH(B126,#REF!,MATCH(A126,#REF!,0)))</f>
        <v>#REF!</v>
      </c>
      <c r="D126" s="141">
        <v>126</v>
      </c>
    </row>
    <row r="127" spans="1:4" x14ac:dyDescent="0.25">
      <c r="A127" s="130" t="s">
        <v>269</v>
      </c>
      <c r="B127" s="140">
        <v>1</v>
      </c>
      <c r="C127" s="142" t="e">
        <f>INDEX(#REF!,MATCH(B127,#REF!,MATCH(A127,#REF!,0)))</f>
        <v>#REF!</v>
      </c>
      <c r="D127" s="141">
        <v>127</v>
      </c>
    </row>
    <row r="128" spans="1:4" x14ac:dyDescent="0.25">
      <c r="A128" s="130" t="s">
        <v>269</v>
      </c>
      <c r="B128" s="140">
        <v>2</v>
      </c>
      <c r="C128" s="142" t="e">
        <f>INDEX(#REF!,MATCH(B128,#REF!,MATCH(A128,#REF!,0)))</f>
        <v>#REF!</v>
      </c>
      <c r="D128" s="141">
        <v>128</v>
      </c>
    </row>
    <row r="129" spans="1:4" x14ac:dyDescent="0.25">
      <c r="A129" s="130" t="s">
        <v>269</v>
      </c>
      <c r="B129" s="140">
        <v>3</v>
      </c>
      <c r="C129" s="142" t="e">
        <f>INDEX(#REF!,MATCH(B129,#REF!,MATCH(A129,#REF!,0)))</f>
        <v>#REF!</v>
      </c>
      <c r="D129" s="141">
        <v>129</v>
      </c>
    </row>
    <row r="130" spans="1:4" x14ac:dyDescent="0.25">
      <c r="A130" s="130" t="s">
        <v>269</v>
      </c>
      <c r="B130" s="140">
        <v>4</v>
      </c>
      <c r="C130" s="142" t="e">
        <f>INDEX(#REF!,MATCH(B130,#REF!,MATCH(A130,#REF!,0)))</f>
        <v>#REF!</v>
      </c>
      <c r="D130" s="141">
        <v>130</v>
      </c>
    </row>
    <row r="131" spans="1:4" x14ac:dyDescent="0.25">
      <c r="A131" s="130" t="s">
        <v>269</v>
      </c>
      <c r="B131" s="140">
        <v>5</v>
      </c>
      <c r="C131" s="142" t="e">
        <f>INDEX(#REF!,MATCH(B131,#REF!,MATCH(A131,#REF!,0)))</f>
        <v>#REF!</v>
      </c>
      <c r="D131" s="141">
        <v>131</v>
      </c>
    </row>
    <row r="132" spans="1:4" x14ac:dyDescent="0.25">
      <c r="A132" s="130" t="s">
        <v>269</v>
      </c>
      <c r="B132" s="140">
        <v>6</v>
      </c>
      <c r="C132" s="142" t="e">
        <f>INDEX(#REF!,MATCH(B132,#REF!,MATCH(A132,#REF!,0)))</f>
        <v>#REF!</v>
      </c>
      <c r="D132" s="141">
        <v>132</v>
      </c>
    </row>
    <row r="133" spans="1:4" x14ac:dyDescent="0.25">
      <c r="A133" s="130" t="s">
        <v>269</v>
      </c>
      <c r="B133" s="140">
        <v>7</v>
      </c>
      <c r="C133" s="142" t="e">
        <f>INDEX(#REF!,MATCH(B133,#REF!,MATCH(A133,#REF!,0)))</f>
        <v>#REF!</v>
      </c>
      <c r="D133" s="141">
        <v>133</v>
      </c>
    </row>
    <row r="134" spans="1:4" x14ac:dyDescent="0.25">
      <c r="A134" s="130" t="s">
        <v>269</v>
      </c>
      <c r="B134" s="140">
        <v>8</v>
      </c>
      <c r="C134" s="142" t="e">
        <f>INDEX(#REF!,MATCH(B134,#REF!,MATCH(A134,#REF!,0)))</f>
        <v>#REF!</v>
      </c>
      <c r="D134" s="141">
        <v>134</v>
      </c>
    </row>
    <row r="135" spans="1:4" x14ac:dyDescent="0.25">
      <c r="A135" s="130" t="s">
        <v>269</v>
      </c>
      <c r="B135" s="140">
        <v>9</v>
      </c>
      <c r="C135" s="142" t="e">
        <f>INDEX(#REF!,MATCH(B135,#REF!,MATCH(A135,#REF!,0)))</f>
        <v>#REF!</v>
      </c>
      <c r="D135" s="141">
        <v>135</v>
      </c>
    </row>
    <row r="136" spans="1:4" x14ac:dyDescent="0.25">
      <c r="A136" s="130" t="s">
        <v>269</v>
      </c>
      <c r="B136" s="140">
        <v>10</v>
      </c>
      <c r="C136" s="142" t="e">
        <f>INDEX(#REF!,MATCH(B136,#REF!,MATCH(A136,#REF!,0)))</f>
        <v>#REF!</v>
      </c>
      <c r="D136" s="141">
        <v>136</v>
      </c>
    </row>
    <row r="137" spans="1:4" x14ac:dyDescent="0.25">
      <c r="A137" s="130" t="s">
        <v>269</v>
      </c>
      <c r="B137" s="140">
        <v>11</v>
      </c>
      <c r="C137" s="142" t="e">
        <f>INDEX(#REF!,MATCH(B137,#REF!,MATCH(A137,#REF!,0)))</f>
        <v>#REF!</v>
      </c>
      <c r="D137" s="141">
        <v>137</v>
      </c>
    </row>
    <row r="138" spans="1:4" x14ac:dyDescent="0.25">
      <c r="A138" s="130" t="s">
        <v>269</v>
      </c>
      <c r="B138" s="140">
        <v>12</v>
      </c>
      <c r="C138" s="142" t="e">
        <f>INDEX(#REF!,MATCH(B138,#REF!,MATCH(A138,#REF!,0)))</f>
        <v>#REF!</v>
      </c>
      <c r="D138" s="141">
        <v>138</v>
      </c>
    </row>
    <row r="139" spans="1:4" x14ac:dyDescent="0.25">
      <c r="A139" s="130" t="s">
        <v>269</v>
      </c>
      <c r="B139" s="140">
        <v>13</v>
      </c>
      <c r="C139" s="142" t="e">
        <f>INDEX(#REF!,MATCH(B139,#REF!,MATCH(A139,#REF!,0)))</f>
        <v>#REF!</v>
      </c>
      <c r="D139" s="141">
        <v>139</v>
      </c>
    </row>
    <row r="140" spans="1:4" x14ac:dyDescent="0.25">
      <c r="A140" s="130" t="s">
        <v>269</v>
      </c>
      <c r="B140" s="140">
        <v>14</v>
      </c>
      <c r="C140" s="142" t="e">
        <f>INDEX(#REF!,MATCH(B140,#REF!,MATCH(A140,#REF!,0)))</f>
        <v>#REF!</v>
      </c>
      <c r="D140" s="141">
        <v>140</v>
      </c>
    </row>
    <row r="141" spans="1:4" x14ac:dyDescent="0.25">
      <c r="A141" s="130" t="s">
        <v>269</v>
      </c>
      <c r="B141" s="140">
        <v>15</v>
      </c>
      <c r="C141" s="142" t="e">
        <f>INDEX(#REF!,MATCH(B141,#REF!,MATCH(A141,#REF!,0)))</f>
        <v>#REF!</v>
      </c>
      <c r="D141" s="141">
        <v>141</v>
      </c>
    </row>
    <row r="142" spans="1:4" x14ac:dyDescent="0.25">
      <c r="A142" s="130" t="s">
        <v>269</v>
      </c>
      <c r="B142" s="140">
        <v>16</v>
      </c>
      <c r="C142" s="142" t="e">
        <f>INDEX(#REF!,MATCH(B142,#REF!,MATCH(A142,#REF!,0)))</f>
        <v>#REF!</v>
      </c>
      <c r="D142" s="141">
        <v>142</v>
      </c>
    </row>
    <row r="143" spans="1:4" x14ac:dyDescent="0.25">
      <c r="A143" s="130" t="s">
        <v>269</v>
      </c>
      <c r="B143" s="140">
        <v>17</v>
      </c>
      <c r="C143" s="142" t="e">
        <f>INDEX(#REF!,MATCH(B143,#REF!,MATCH(A143,#REF!,0)))</f>
        <v>#REF!</v>
      </c>
      <c r="D143" s="141">
        <v>143</v>
      </c>
    </row>
    <row r="144" spans="1:4" x14ac:dyDescent="0.25">
      <c r="A144" s="130" t="s">
        <v>269</v>
      </c>
      <c r="B144" s="140">
        <v>18</v>
      </c>
      <c r="C144" s="142" t="e">
        <f>INDEX(#REF!,MATCH(B144,#REF!,MATCH(A144,#REF!,0)))</f>
        <v>#REF!</v>
      </c>
      <c r="D144" s="141">
        <v>144</v>
      </c>
    </row>
    <row r="145" spans="1:4" x14ac:dyDescent="0.25">
      <c r="A145" s="130" t="s">
        <v>269</v>
      </c>
      <c r="B145" s="140">
        <v>19</v>
      </c>
      <c r="C145" s="142" t="e">
        <f>INDEX(#REF!,MATCH(B145,#REF!,MATCH(A145,#REF!,0)))</f>
        <v>#REF!</v>
      </c>
      <c r="D145" s="141">
        <v>145</v>
      </c>
    </row>
    <row r="146" spans="1:4" x14ac:dyDescent="0.25">
      <c r="A146" s="130" t="s">
        <v>269</v>
      </c>
      <c r="B146" s="140">
        <v>20</v>
      </c>
      <c r="C146" s="142" t="e">
        <f>INDEX(#REF!,MATCH(B146,#REF!,MATCH(A146,#REF!,0)))</f>
        <v>#REF!</v>
      </c>
      <c r="D146" s="141">
        <v>146</v>
      </c>
    </row>
    <row r="147" spans="1:4" x14ac:dyDescent="0.25">
      <c r="A147" s="130" t="s">
        <v>269</v>
      </c>
      <c r="B147" s="140">
        <v>21</v>
      </c>
      <c r="C147" s="142" t="e">
        <f>INDEX(#REF!,MATCH(B147,#REF!,MATCH(A147,#REF!,0)))</f>
        <v>#REF!</v>
      </c>
      <c r="D147" s="141">
        <v>147</v>
      </c>
    </row>
    <row r="148" spans="1:4" x14ac:dyDescent="0.25">
      <c r="A148" s="130" t="s">
        <v>269</v>
      </c>
      <c r="B148" s="140">
        <v>22</v>
      </c>
      <c r="C148" s="142" t="e">
        <f>INDEX(#REF!,MATCH(B148,#REF!,MATCH(A148,#REF!,0)))</f>
        <v>#REF!</v>
      </c>
      <c r="D148" s="141">
        <v>148</v>
      </c>
    </row>
    <row r="149" spans="1:4" x14ac:dyDescent="0.25">
      <c r="A149" s="130" t="s">
        <v>269</v>
      </c>
      <c r="B149" s="140">
        <v>23</v>
      </c>
      <c r="C149" s="142" t="e">
        <f>INDEX(#REF!,MATCH(B149,#REF!,MATCH(A149,#REF!,0)))</f>
        <v>#REF!</v>
      </c>
      <c r="D149" s="141">
        <v>149</v>
      </c>
    </row>
    <row r="150" spans="1:4" x14ac:dyDescent="0.25">
      <c r="A150" s="130" t="s">
        <v>269</v>
      </c>
      <c r="B150" s="140">
        <v>24</v>
      </c>
      <c r="C150" s="142" t="e">
        <f>INDEX(#REF!,MATCH(B150,#REF!,MATCH(A150,#REF!,0)))</f>
        <v>#REF!</v>
      </c>
      <c r="D150" s="141">
        <v>150</v>
      </c>
    </row>
    <row r="151" spans="1:4" x14ac:dyDescent="0.25">
      <c r="A151" s="130" t="s">
        <v>269</v>
      </c>
      <c r="B151" s="140">
        <v>25</v>
      </c>
      <c r="C151" s="142" t="e">
        <f>INDEX(#REF!,MATCH(B151,#REF!,MATCH(A151,#REF!,0)))</f>
        <v>#REF!</v>
      </c>
      <c r="D151" s="141">
        <v>151</v>
      </c>
    </row>
    <row r="152" spans="1:4" x14ac:dyDescent="0.25">
      <c r="A152" s="130" t="s">
        <v>269</v>
      </c>
      <c r="B152" s="140">
        <v>26</v>
      </c>
      <c r="C152" s="142" t="e">
        <f>INDEX(#REF!,MATCH(B152,#REF!,MATCH(A152,#REF!,0)))</f>
        <v>#REF!</v>
      </c>
      <c r="D152" s="141">
        <v>152</v>
      </c>
    </row>
    <row r="153" spans="1:4" x14ac:dyDescent="0.25">
      <c r="A153" s="130" t="s">
        <v>269</v>
      </c>
      <c r="B153" s="140">
        <v>27</v>
      </c>
      <c r="C153" s="142" t="e">
        <f>INDEX(#REF!,MATCH(B153,#REF!,MATCH(A153,#REF!,0)))</f>
        <v>#REF!</v>
      </c>
      <c r="D153" s="141">
        <v>153</v>
      </c>
    </row>
    <row r="154" spans="1:4" x14ac:dyDescent="0.25">
      <c r="A154" s="130" t="s">
        <v>269</v>
      </c>
      <c r="B154" s="140">
        <v>28</v>
      </c>
      <c r="C154" s="142" t="e">
        <f>INDEX(#REF!,MATCH(B154,#REF!,MATCH(A154,#REF!,0)))</f>
        <v>#REF!</v>
      </c>
      <c r="D154" s="141">
        <v>154</v>
      </c>
    </row>
    <row r="155" spans="1:4" x14ac:dyDescent="0.25">
      <c r="A155" s="130" t="s">
        <v>269</v>
      </c>
      <c r="B155" s="140">
        <v>29</v>
      </c>
      <c r="C155" s="142" t="e">
        <f>INDEX(#REF!,MATCH(B155,#REF!,MATCH(A155,#REF!,0)))</f>
        <v>#REF!</v>
      </c>
      <c r="D155" s="141">
        <v>155</v>
      </c>
    </row>
    <row r="156" spans="1:4" x14ac:dyDescent="0.25">
      <c r="A156" s="130" t="s">
        <v>269</v>
      </c>
      <c r="B156" s="140">
        <v>30</v>
      </c>
      <c r="C156" s="142" t="e">
        <f>INDEX(#REF!,MATCH(B156,#REF!,MATCH(A156,#REF!,0)))</f>
        <v>#REF!</v>
      </c>
      <c r="D156" s="141">
        <v>156</v>
      </c>
    </row>
    <row r="157" spans="1:4" x14ac:dyDescent="0.25">
      <c r="A157" s="130" t="s">
        <v>270</v>
      </c>
      <c r="B157" s="140">
        <v>0</v>
      </c>
      <c r="C157" s="142" t="e">
        <f>INDEX(#REF!,MATCH(B157,#REF!,MATCH(A157,#REF!,0)))</f>
        <v>#REF!</v>
      </c>
      <c r="D157" s="141">
        <v>157</v>
      </c>
    </row>
    <row r="158" spans="1:4" x14ac:dyDescent="0.25">
      <c r="A158" s="130" t="s">
        <v>270</v>
      </c>
      <c r="B158" s="140">
        <v>1</v>
      </c>
      <c r="C158" s="142" t="e">
        <f>INDEX(#REF!,MATCH(B158,#REF!,MATCH(A158,#REF!,0)))</f>
        <v>#REF!</v>
      </c>
      <c r="D158" s="141">
        <v>158</v>
      </c>
    </row>
    <row r="159" spans="1:4" x14ac:dyDescent="0.25">
      <c r="A159" s="130" t="s">
        <v>270</v>
      </c>
      <c r="B159" s="140">
        <v>2</v>
      </c>
      <c r="C159" s="142" t="e">
        <f>INDEX(#REF!,MATCH(B159,#REF!,MATCH(A159,#REF!,0)))</f>
        <v>#REF!</v>
      </c>
      <c r="D159" s="141">
        <v>159</v>
      </c>
    </row>
    <row r="160" spans="1:4" x14ac:dyDescent="0.25">
      <c r="A160" s="130" t="s">
        <v>270</v>
      </c>
      <c r="B160" s="140">
        <v>3</v>
      </c>
      <c r="C160" s="142" t="e">
        <f>INDEX(#REF!,MATCH(B160,#REF!,MATCH(A160,#REF!,0)))</f>
        <v>#REF!</v>
      </c>
      <c r="D160" s="141">
        <v>160</v>
      </c>
    </row>
    <row r="161" spans="1:4" x14ac:dyDescent="0.25">
      <c r="A161" s="130" t="s">
        <v>270</v>
      </c>
      <c r="B161" s="140">
        <v>4</v>
      </c>
      <c r="C161" s="142" t="e">
        <f>INDEX(#REF!,MATCH(B161,#REF!,MATCH(A161,#REF!,0)))</f>
        <v>#REF!</v>
      </c>
      <c r="D161" s="141">
        <v>161</v>
      </c>
    </row>
    <row r="162" spans="1:4" x14ac:dyDescent="0.25">
      <c r="A162" s="130" t="s">
        <v>270</v>
      </c>
      <c r="B162" s="140">
        <v>5</v>
      </c>
      <c r="C162" s="142" t="e">
        <f>INDEX(#REF!,MATCH(B162,#REF!,MATCH(A162,#REF!,0)))</f>
        <v>#REF!</v>
      </c>
      <c r="D162" s="141">
        <v>162</v>
      </c>
    </row>
    <row r="163" spans="1:4" x14ac:dyDescent="0.25">
      <c r="A163" s="130" t="s">
        <v>270</v>
      </c>
      <c r="B163" s="140">
        <v>6</v>
      </c>
      <c r="C163" s="142" t="e">
        <f>INDEX(#REF!,MATCH(B163,#REF!,MATCH(A163,#REF!,0)))</f>
        <v>#REF!</v>
      </c>
      <c r="D163" s="141">
        <v>163</v>
      </c>
    </row>
    <row r="164" spans="1:4" x14ac:dyDescent="0.25">
      <c r="A164" s="130" t="s">
        <v>270</v>
      </c>
      <c r="B164" s="140">
        <v>7</v>
      </c>
      <c r="C164" s="142" t="e">
        <f>INDEX(#REF!,MATCH(B164,#REF!,MATCH(A164,#REF!,0)))</f>
        <v>#REF!</v>
      </c>
      <c r="D164" s="141">
        <v>164</v>
      </c>
    </row>
    <row r="165" spans="1:4" x14ac:dyDescent="0.25">
      <c r="A165" s="130" t="s">
        <v>270</v>
      </c>
      <c r="B165" s="140">
        <v>8</v>
      </c>
      <c r="C165" s="142" t="e">
        <f>INDEX(#REF!,MATCH(B165,#REF!,MATCH(A165,#REF!,0)))</f>
        <v>#REF!</v>
      </c>
      <c r="D165" s="141">
        <v>165</v>
      </c>
    </row>
    <row r="166" spans="1:4" x14ac:dyDescent="0.25">
      <c r="A166" s="130" t="s">
        <v>270</v>
      </c>
      <c r="B166" s="140">
        <v>9</v>
      </c>
      <c r="C166" s="142" t="e">
        <f>INDEX(#REF!,MATCH(B166,#REF!,MATCH(A166,#REF!,0)))</f>
        <v>#REF!</v>
      </c>
      <c r="D166" s="141">
        <v>166</v>
      </c>
    </row>
    <row r="167" spans="1:4" x14ac:dyDescent="0.25">
      <c r="A167" s="130" t="s">
        <v>270</v>
      </c>
      <c r="B167" s="140">
        <v>10</v>
      </c>
      <c r="C167" s="142" t="e">
        <f>INDEX(#REF!,MATCH(B167,#REF!,MATCH(A167,#REF!,0)))</f>
        <v>#REF!</v>
      </c>
      <c r="D167" s="141">
        <v>167</v>
      </c>
    </row>
    <row r="168" spans="1:4" x14ac:dyDescent="0.25">
      <c r="A168" s="130" t="s">
        <v>270</v>
      </c>
      <c r="B168" s="140">
        <v>11</v>
      </c>
      <c r="C168" s="142" t="e">
        <f>INDEX(#REF!,MATCH(B168,#REF!,MATCH(A168,#REF!,0)))</f>
        <v>#REF!</v>
      </c>
      <c r="D168" s="141">
        <v>168</v>
      </c>
    </row>
    <row r="169" spans="1:4" x14ac:dyDescent="0.25">
      <c r="A169" s="130" t="s">
        <v>270</v>
      </c>
      <c r="B169" s="140">
        <v>12</v>
      </c>
      <c r="C169" s="142" t="e">
        <f>INDEX(#REF!,MATCH(B169,#REF!,MATCH(A169,#REF!,0)))</f>
        <v>#REF!</v>
      </c>
      <c r="D169" s="141">
        <v>169</v>
      </c>
    </row>
    <row r="170" spans="1:4" x14ac:dyDescent="0.25">
      <c r="A170" s="130" t="s">
        <v>270</v>
      </c>
      <c r="B170" s="140">
        <v>13</v>
      </c>
      <c r="C170" s="142" t="e">
        <f>INDEX(#REF!,MATCH(B170,#REF!,MATCH(A170,#REF!,0)))</f>
        <v>#REF!</v>
      </c>
      <c r="D170" s="141">
        <v>170</v>
      </c>
    </row>
    <row r="171" spans="1:4" x14ac:dyDescent="0.25">
      <c r="A171" s="130" t="s">
        <v>270</v>
      </c>
      <c r="B171" s="140">
        <v>14</v>
      </c>
      <c r="C171" s="142" t="e">
        <f>INDEX(#REF!,MATCH(B171,#REF!,MATCH(A171,#REF!,0)))</f>
        <v>#REF!</v>
      </c>
      <c r="D171" s="141">
        <v>171</v>
      </c>
    </row>
    <row r="172" spans="1:4" x14ac:dyDescent="0.25">
      <c r="A172" s="130" t="s">
        <v>270</v>
      </c>
      <c r="B172" s="140">
        <v>15</v>
      </c>
      <c r="C172" s="142" t="e">
        <f>INDEX(#REF!,MATCH(B172,#REF!,MATCH(A172,#REF!,0)))</f>
        <v>#REF!</v>
      </c>
      <c r="D172" s="141">
        <v>172</v>
      </c>
    </row>
    <row r="173" spans="1:4" x14ac:dyDescent="0.25">
      <c r="A173" s="130" t="s">
        <v>270</v>
      </c>
      <c r="B173" s="140">
        <v>16</v>
      </c>
      <c r="C173" s="142" t="e">
        <f>INDEX(#REF!,MATCH(B173,#REF!,MATCH(A173,#REF!,0)))</f>
        <v>#REF!</v>
      </c>
      <c r="D173" s="141">
        <v>173</v>
      </c>
    </row>
    <row r="174" spans="1:4" x14ac:dyDescent="0.25">
      <c r="A174" s="130" t="s">
        <v>270</v>
      </c>
      <c r="B174" s="140">
        <v>17</v>
      </c>
      <c r="C174" s="142" t="e">
        <f>INDEX(#REF!,MATCH(B174,#REF!,MATCH(A174,#REF!,0)))</f>
        <v>#REF!</v>
      </c>
      <c r="D174" s="141">
        <v>174</v>
      </c>
    </row>
    <row r="175" spans="1:4" x14ac:dyDescent="0.25">
      <c r="A175" s="130" t="s">
        <v>270</v>
      </c>
      <c r="B175" s="140">
        <v>18</v>
      </c>
      <c r="C175" s="142" t="e">
        <f>INDEX(#REF!,MATCH(B175,#REF!,MATCH(A175,#REF!,0)))</f>
        <v>#REF!</v>
      </c>
      <c r="D175" s="141">
        <v>175</v>
      </c>
    </row>
    <row r="176" spans="1:4" x14ac:dyDescent="0.25">
      <c r="A176" s="130" t="s">
        <v>270</v>
      </c>
      <c r="B176" s="140">
        <v>19</v>
      </c>
      <c r="C176" s="142" t="e">
        <f>INDEX(#REF!,MATCH(B176,#REF!,MATCH(A176,#REF!,0)))</f>
        <v>#REF!</v>
      </c>
      <c r="D176" s="141">
        <v>176</v>
      </c>
    </row>
    <row r="177" spans="1:4" x14ac:dyDescent="0.25">
      <c r="A177" s="130" t="s">
        <v>270</v>
      </c>
      <c r="B177" s="140">
        <v>20</v>
      </c>
      <c r="C177" s="142" t="e">
        <f>INDEX(#REF!,MATCH(B177,#REF!,MATCH(A177,#REF!,0)))</f>
        <v>#REF!</v>
      </c>
      <c r="D177" s="141">
        <v>177</v>
      </c>
    </row>
    <row r="178" spans="1:4" x14ac:dyDescent="0.25">
      <c r="A178" s="130" t="s">
        <v>270</v>
      </c>
      <c r="B178" s="140">
        <v>21</v>
      </c>
      <c r="C178" s="142" t="e">
        <f>INDEX(#REF!,MATCH(B178,#REF!,MATCH(A178,#REF!,0)))</f>
        <v>#REF!</v>
      </c>
      <c r="D178" s="141">
        <v>178</v>
      </c>
    </row>
    <row r="179" spans="1:4" x14ac:dyDescent="0.25">
      <c r="A179" s="130" t="s">
        <v>270</v>
      </c>
      <c r="B179" s="140">
        <v>22</v>
      </c>
      <c r="C179" s="142" t="e">
        <f>INDEX(#REF!,MATCH(B179,#REF!,MATCH(A179,#REF!,0)))</f>
        <v>#REF!</v>
      </c>
      <c r="D179" s="141">
        <v>179</v>
      </c>
    </row>
    <row r="180" spans="1:4" x14ac:dyDescent="0.25">
      <c r="A180" s="130" t="s">
        <v>270</v>
      </c>
      <c r="B180" s="140">
        <v>23</v>
      </c>
      <c r="C180" s="142" t="e">
        <f>INDEX(#REF!,MATCH(B180,#REF!,MATCH(A180,#REF!,0)))</f>
        <v>#REF!</v>
      </c>
      <c r="D180" s="141">
        <v>180</v>
      </c>
    </row>
    <row r="181" spans="1:4" x14ac:dyDescent="0.25">
      <c r="A181" s="130" t="s">
        <v>270</v>
      </c>
      <c r="B181" s="140">
        <v>24</v>
      </c>
      <c r="C181" s="142" t="e">
        <f>INDEX(#REF!,MATCH(B181,#REF!,MATCH(A181,#REF!,0)))</f>
        <v>#REF!</v>
      </c>
      <c r="D181" s="141">
        <v>181</v>
      </c>
    </row>
    <row r="182" spans="1:4" x14ac:dyDescent="0.25">
      <c r="A182" s="130" t="s">
        <v>270</v>
      </c>
      <c r="B182" s="140">
        <v>25</v>
      </c>
      <c r="C182" s="142" t="e">
        <f>INDEX(#REF!,MATCH(B182,#REF!,MATCH(A182,#REF!,0)))</f>
        <v>#REF!</v>
      </c>
      <c r="D182" s="141">
        <v>182</v>
      </c>
    </row>
    <row r="183" spans="1:4" x14ac:dyDescent="0.25">
      <c r="A183" s="130" t="s">
        <v>270</v>
      </c>
      <c r="B183" s="140">
        <v>26</v>
      </c>
      <c r="C183" s="142" t="e">
        <f>INDEX(#REF!,MATCH(B183,#REF!,MATCH(A183,#REF!,0)))</f>
        <v>#REF!</v>
      </c>
      <c r="D183" s="141">
        <v>183</v>
      </c>
    </row>
    <row r="184" spans="1:4" x14ac:dyDescent="0.25">
      <c r="A184" s="130" t="s">
        <v>270</v>
      </c>
      <c r="B184" s="140">
        <v>27</v>
      </c>
      <c r="C184" s="142" t="e">
        <f>INDEX(#REF!,MATCH(B184,#REF!,MATCH(A184,#REF!,0)))</f>
        <v>#REF!</v>
      </c>
      <c r="D184" s="141">
        <v>184</v>
      </c>
    </row>
    <row r="185" spans="1:4" x14ac:dyDescent="0.25">
      <c r="A185" s="130" t="s">
        <v>270</v>
      </c>
      <c r="B185" s="140">
        <v>28</v>
      </c>
      <c r="C185" s="142" t="e">
        <f>INDEX(#REF!,MATCH(B185,#REF!,MATCH(A185,#REF!,0)))</f>
        <v>#REF!</v>
      </c>
      <c r="D185" s="141">
        <v>185</v>
      </c>
    </row>
    <row r="186" spans="1:4" x14ac:dyDescent="0.25">
      <c r="A186" s="130" t="s">
        <v>270</v>
      </c>
      <c r="B186" s="140">
        <v>29</v>
      </c>
      <c r="C186" s="142" t="e">
        <f>INDEX(#REF!,MATCH(B186,#REF!,MATCH(A186,#REF!,0)))</f>
        <v>#REF!</v>
      </c>
      <c r="D186" s="141">
        <v>186</v>
      </c>
    </row>
    <row r="187" spans="1:4" x14ac:dyDescent="0.25">
      <c r="A187" s="130" t="s">
        <v>270</v>
      </c>
      <c r="B187" s="140">
        <v>30</v>
      </c>
      <c r="C187" s="142" t="e">
        <f>INDEX(#REF!,MATCH(B187,#REF!,MATCH(A187,#REF!,0)))</f>
        <v>#REF!</v>
      </c>
      <c r="D187" s="141">
        <v>187</v>
      </c>
    </row>
    <row r="188" spans="1:4" x14ac:dyDescent="0.25">
      <c r="A188" s="130" t="s">
        <v>285</v>
      </c>
      <c r="B188" s="140">
        <v>0</v>
      </c>
      <c r="C188" s="142" t="e">
        <f>INDEX(#REF!,MATCH(B188,#REF!,MATCH(A188,#REF!,0)))</f>
        <v>#REF!</v>
      </c>
      <c r="D188" s="141">
        <v>188</v>
      </c>
    </row>
    <row r="189" spans="1:4" x14ac:dyDescent="0.25">
      <c r="A189" s="130" t="s">
        <v>285</v>
      </c>
      <c r="B189" s="140">
        <v>1</v>
      </c>
      <c r="C189" s="142" t="e">
        <f>INDEX(#REF!,MATCH(B189,#REF!,MATCH(A189,#REF!,0)))</f>
        <v>#REF!</v>
      </c>
      <c r="D189" s="141">
        <v>189</v>
      </c>
    </row>
    <row r="190" spans="1:4" x14ac:dyDescent="0.25">
      <c r="A190" s="130" t="s">
        <v>285</v>
      </c>
      <c r="B190" s="140">
        <v>2</v>
      </c>
      <c r="C190" s="142" t="e">
        <f>INDEX(#REF!,MATCH(B190,#REF!,MATCH(A190,#REF!,0)))</f>
        <v>#REF!</v>
      </c>
      <c r="D190" s="141">
        <v>190</v>
      </c>
    </row>
    <row r="191" spans="1:4" x14ac:dyDescent="0.25">
      <c r="A191" s="130" t="s">
        <v>285</v>
      </c>
      <c r="B191" s="140">
        <v>3</v>
      </c>
      <c r="C191" s="142" t="e">
        <f>INDEX(#REF!,MATCH(B191,#REF!,MATCH(A191,#REF!,0)))</f>
        <v>#REF!</v>
      </c>
      <c r="D191" s="141">
        <v>191</v>
      </c>
    </row>
    <row r="192" spans="1:4" x14ac:dyDescent="0.25">
      <c r="A192" s="130" t="s">
        <v>285</v>
      </c>
      <c r="B192" s="140">
        <v>4</v>
      </c>
      <c r="C192" s="142" t="e">
        <f>INDEX(#REF!,MATCH(B192,#REF!,MATCH(A192,#REF!,0)))</f>
        <v>#REF!</v>
      </c>
      <c r="D192" s="141">
        <v>192</v>
      </c>
    </row>
    <row r="193" spans="1:4" x14ac:dyDescent="0.25">
      <c r="A193" s="130" t="s">
        <v>285</v>
      </c>
      <c r="B193" s="140">
        <v>5</v>
      </c>
      <c r="C193" s="142" t="e">
        <f>INDEX(#REF!,MATCH(B193,#REF!,MATCH(A193,#REF!,0)))</f>
        <v>#REF!</v>
      </c>
      <c r="D193" s="141">
        <v>193</v>
      </c>
    </row>
    <row r="194" spans="1:4" x14ac:dyDescent="0.25">
      <c r="A194" s="130" t="s">
        <v>285</v>
      </c>
      <c r="B194" s="140">
        <v>6</v>
      </c>
      <c r="C194" s="142" t="e">
        <f>INDEX(#REF!,MATCH(B194,#REF!,MATCH(A194,#REF!,0)))</f>
        <v>#REF!</v>
      </c>
      <c r="D194" s="141">
        <v>194</v>
      </c>
    </row>
    <row r="195" spans="1:4" x14ac:dyDescent="0.25">
      <c r="A195" s="130" t="s">
        <v>285</v>
      </c>
      <c r="B195" s="140">
        <v>7</v>
      </c>
      <c r="C195" s="142" t="e">
        <f>INDEX(#REF!,MATCH(B195,#REF!,MATCH(A195,#REF!,0)))</f>
        <v>#REF!</v>
      </c>
      <c r="D195" s="141">
        <v>195</v>
      </c>
    </row>
    <row r="196" spans="1:4" x14ac:dyDescent="0.25">
      <c r="A196" s="130" t="s">
        <v>285</v>
      </c>
      <c r="B196" s="140">
        <v>8</v>
      </c>
      <c r="C196" s="142" t="e">
        <f>INDEX(#REF!,MATCH(B196,#REF!,MATCH(A196,#REF!,0)))</f>
        <v>#REF!</v>
      </c>
      <c r="D196" s="141">
        <v>196</v>
      </c>
    </row>
    <row r="197" spans="1:4" x14ac:dyDescent="0.25">
      <c r="A197" s="130" t="s">
        <v>285</v>
      </c>
      <c r="B197" s="140">
        <v>9</v>
      </c>
      <c r="C197" s="142" t="e">
        <f>INDEX(#REF!,MATCH(B197,#REF!,MATCH(A197,#REF!,0)))</f>
        <v>#REF!</v>
      </c>
      <c r="D197" s="141">
        <v>197</v>
      </c>
    </row>
    <row r="198" spans="1:4" x14ac:dyDescent="0.25">
      <c r="A198" s="130" t="s">
        <v>285</v>
      </c>
      <c r="B198" s="140">
        <v>10</v>
      </c>
      <c r="C198" s="142" t="e">
        <f>INDEX(#REF!,MATCH(B198,#REF!,MATCH(A198,#REF!,0)))</f>
        <v>#REF!</v>
      </c>
      <c r="D198" s="141">
        <v>198</v>
      </c>
    </row>
    <row r="199" spans="1:4" x14ac:dyDescent="0.25">
      <c r="A199" s="130" t="s">
        <v>285</v>
      </c>
      <c r="B199" s="140">
        <v>11</v>
      </c>
      <c r="C199" s="142" t="e">
        <f>INDEX(#REF!,MATCH(B199,#REF!,MATCH(A199,#REF!,0)))</f>
        <v>#REF!</v>
      </c>
      <c r="D199" s="141">
        <v>199</v>
      </c>
    </row>
    <row r="200" spans="1:4" x14ac:dyDescent="0.25">
      <c r="A200" s="130" t="s">
        <v>285</v>
      </c>
      <c r="B200" s="140">
        <v>12</v>
      </c>
      <c r="C200" s="142" t="e">
        <f>INDEX(#REF!,MATCH(B200,#REF!,MATCH(A200,#REF!,0)))</f>
        <v>#REF!</v>
      </c>
      <c r="D200" s="141">
        <v>200</v>
      </c>
    </row>
    <row r="201" spans="1:4" x14ac:dyDescent="0.25">
      <c r="A201" s="130" t="s">
        <v>285</v>
      </c>
      <c r="B201" s="140">
        <v>13</v>
      </c>
      <c r="C201" s="142" t="e">
        <f>INDEX(#REF!,MATCH(B201,#REF!,MATCH(A201,#REF!,0)))</f>
        <v>#REF!</v>
      </c>
      <c r="D201" s="141">
        <v>201</v>
      </c>
    </row>
    <row r="202" spans="1:4" x14ac:dyDescent="0.25">
      <c r="A202" s="130" t="s">
        <v>285</v>
      </c>
      <c r="B202" s="140">
        <v>14</v>
      </c>
      <c r="C202" s="142" t="e">
        <f>INDEX(#REF!,MATCH(B202,#REF!,MATCH(A202,#REF!,0)))</f>
        <v>#REF!</v>
      </c>
      <c r="D202" s="141">
        <v>202</v>
      </c>
    </row>
    <row r="203" spans="1:4" x14ac:dyDescent="0.25">
      <c r="A203" s="130" t="s">
        <v>285</v>
      </c>
      <c r="B203" s="140">
        <v>15</v>
      </c>
      <c r="C203" s="142" t="e">
        <f>INDEX(#REF!,MATCH(B203,#REF!,MATCH(A203,#REF!,0)))</f>
        <v>#REF!</v>
      </c>
      <c r="D203" s="141">
        <v>203</v>
      </c>
    </row>
    <row r="204" spans="1:4" x14ac:dyDescent="0.25">
      <c r="A204" s="130" t="s">
        <v>285</v>
      </c>
      <c r="B204" s="140">
        <v>16</v>
      </c>
      <c r="C204" s="142" t="e">
        <f>INDEX(#REF!,MATCH(B204,#REF!,MATCH(A204,#REF!,0)))</f>
        <v>#REF!</v>
      </c>
      <c r="D204" s="141">
        <v>204</v>
      </c>
    </row>
    <row r="205" spans="1:4" x14ac:dyDescent="0.25">
      <c r="A205" s="130" t="s">
        <v>285</v>
      </c>
      <c r="B205" s="140">
        <v>17</v>
      </c>
      <c r="C205" s="142" t="e">
        <f>INDEX(#REF!,MATCH(B205,#REF!,MATCH(A205,#REF!,0)))</f>
        <v>#REF!</v>
      </c>
      <c r="D205" s="141">
        <v>205</v>
      </c>
    </row>
    <row r="206" spans="1:4" x14ac:dyDescent="0.25">
      <c r="A206" s="130" t="s">
        <v>285</v>
      </c>
      <c r="B206" s="140">
        <v>18</v>
      </c>
      <c r="C206" s="142" t="e">
        <f>INDEX(#REF!,MATCH(B206,#REF!,MATCH(A206,#REF!,0)))</f>
        <v>#REF!</v>
      </c>
      <c r="D206" s="141">
        <v>206</v>
      </c>
    </row>
    <row r="207" spans="1:4" x14ac:dyDescent="0.25">
      <c r="A207" s="130" t="s">
        <v>285</v>
      </c>
      <c r="B207" s="140">
        <v>19</v>
      </c>
      <c r="C207" s="142" t="e">
        <f>INDEX(#REF!,MATCH(B207,#REF!,MATCH(A207,#REF!,0)))</f>
        <v>#REF!</v>
      </c>
      <c r="D207" s="141">
        <v>207</v>
      </c>
    </row>
    <row r="208" spans="1:4" x14ac:dyDescent="0.25">
      <c r="A208" s="130" t="s">
        <v>285</v>
      </c>
      <c r="B208" s="140">
        <v>20</v>
      </c>
      <c r="C208" s="142" t="e">
        <f>INDEX(#REF!,MATCH(B208,#REF!,MATCH(A208,#REF!,0)))</f>
        <v>#REF!</v>
      </c>
      <c r="D208" s="141">
        <v>208</v>
      </c>
    </row>
    <row r="209" spans="1:4" x14ac:dyDescent="0.25">
      <c r="A209" s="130" t="s">
        <v>285</v>
      </c>
      <c r="B209" s="140">
        <v>21</v>
      </c>
      <c r="C209" s="142" t="e">
        <f>INDEX(#REF!,MATCH(B209,#REF!,MATCH(A209,#REF!,0)))</f>
        <v>#REF!</v>
      </c>
      <c r="D209" s="141">
        <v>209</v>
      </c>
    </row>
    <row r="210" spans="1:4" x14ac:dyDescent="0.25">
      <c r="A210" s="130" t="s">
        <v>285</v>
      </c>
      <c r="B210" s="140">
        <v>22</v>
      </c>
      <c r="C210" s="142" t="e">
        <f>INDEX(#REF!,MATCH(B210,#REF!,MATCH(A210,#REF!,0)))</f>
        <v>#REF!</v>
      </c>
      <c r="D210" s="141">
        <v>210</v>
      </c>
    </row>
    <row r="211" spans="1:4" x14ac:dyDescent="0.25">
      <c r="A211" s="130" t="s">
        <v>285</v>
      </c>
      <c r="B211" s="140">
        <v>23</v>
      </c>
      <c r="C211" s="142" t="e">
        <f>INDEX(#REF!,MATCH(B211,#REF!,MATCH(A211,#REF!,0)))</f>
        <v>#REF!</v>
      </c>
      <c r="D211" s="141">
        <v>211</v>
      </c>
    </row>
    <row r="212" spans="1:4" x14ac:dyDescent="0.25">
      <c r="A212" s="130" t="s">
        <v>285</v>
      </c>
      <c r="B212" s="140">
        <v>24</v>
      </c>
      <c r="C212" s="142" t="e">
        <f>INDEX(#REF!,MATCH(B212,#REF!,MATCH(A212,#REF!,0)))</f>
        <v>#REF!</v>
      </c>
      <c r="D212" s="141">
        <v>212</v>
      </c>
    </row>
    <row r="213" spans="1:4" x14ac:dyDescent="0.25">
      <c r="A213" s="130" t="s">
        <v>285</v>
      </c>
      <c r="B213" s="140">
        <v>25</v>
      </c>
      <c r="C213" s="142" t="e">
        <f>INDEX(#REF!,MATCH(B213,#REF!,MATCH(A213,#REF!,0)))</f>
        <v>#REF!</v>
      </c>
      <c r="D213" s="141">
        <v>213</v>
      </c>
    </row>
    <row r="214" spans="1:4" x14ac:dyDescent="0.25">
      <c r="A214" s="130" t="s">
        <v>285</v>
      </c>
      <c r="B214" s="140">
        <v>26</v>
      </c>
      <c r="C214" s="142" t="e">
        <f>INDEX(#REF!,MATCH(B214,#REF!,MATCH(A214,#REF!,0)))</f>
        <v>#REF!</v>
      </c>
      <c r="D214" s="141">
        <v>214</v>
      </c>
    </row>
    <row r="215" spans="1:4" x14ac:dyDescent="0.25">
      <c r="A215" s="130" t="s">
        <v>285</v>
      </c>
      <c r="B215" s="140">
        <v>27</v>
      </c>
      <c r="C215" s="142" t="e">
        <f>INDEX(#REF!,MATCH(B215,#REF!,MATCH(A215,#REF!,0)))</f>
        <v>#REF!</v>
      </c>
      <c r="D215" s="141">
        <v>215</v>
      </c>
    </row>
    <row r="216" spans="1:4" x14ac:dyDescent="0.25">
      <c r="A216" s="130" t="s">
        <v>285</v>
      </c>
      <c r="B216" s="140">
        <v>28</v>
      </c>
      <c r="C216" s="142" t="e">
        <f>INDEX(#REF!,MATCH(B216,#REF!,MATCH(A216,#REF!,0)))</f>
        <v>#REF!</v>
      </c>
      <c r="D216" s="141">
        <v>216</v>
      </c>
    </row>
    <row r="217" spans="1:4" x14ac:dyDescent="0.25">
      <c r="A217" s="130" t="s">
        <v>285</v>
      </c>
      <c r="B217" s="140">
        <v>29</v>
      </c>
      <c r="C217" s="142" t="e">
        <f>INDEX(#REF!,MATCH(B217,#REF!,MATCH(A217,#REF!,0)))</f>
        <v>#REF!</v>
      </c>
      <c r="D217" s="141">
        <v>217</v>
      </c>
    </row>
    <row r="218" spans="1:4" x14ac:dyDescent="0.25">
      <c r="A218" s="130" t="s">
        <v>285</v>
      </c>
      <c r="B218" s="140">
        <v>30</v>
      </c>
      <c r="C218" s="142" t="e">
        <f>INDEX(#REF!,MATCH(B218,#REF!,MATCH(A218,#REF!,0)))</f>
        <v>#REF!</v>
      </c>
      <c r="D218" s="141">
        <v>218</v>
      </c>
    </row>
    <row r="219" spans="1:4" x14ac:dyDescent="0.25">
      <c r="A219" s="130" t="s">
        <v>308</v>
      </c>
      <c r="B219" s="140">
        <v>0</v>
      </c>
      <c r="C219" s="142" t="e">
        <f>INDEX(#REF!,MATCH(B219,#REF!,MATCH(A219,#REF!,0)))</f>
        <v>#REF!</v>
      </c>
      <c r="D219" s="141">
        <v>219</v>
      </c>
    </row>
    <row r="220" spans="1:4" x14ac:dyDescent="0.25">
      <c r="A220" s="130" t="s">
        <v>308</v>
      </c>
      <c r="B220" s="140">
        <v>1</v>
      </c>
      <c r="C220" s="142" t="e">
        <f>INDEX(#REF!,MATCH(B220,#REF!,MATCH(A220,#REF!,0)))</f>
        <v>#REF!</v>
      </c>
      <c r="D220" s="141">
        <v>220</v>
      </c>
    </row>
    <row r="221" spans="1:4" x14ac:dyDescent="0.25">
      <c r="A221" s="130" t="s">
        <v>308</v>
      </c>
      <c r="B221" s="140">
        <v>2</v>
      </c>
      <c r="C221" s="142" t="e">
        <f>INDEX(#REF!,MATCH(B221,#REF!,MATCH(A221,#REF!,0)))</f>
        <v>#REF!</v>
      </c>
      <c r="D221" s="141">
        <v>221</v>
      </c>
    </row>
    <row r="222" spans="1:4" x14ac:dyDescent="0.25">
      <c r="A222" s="130" t="s">
        <v>308</v>
      </c>
      <c r="B222" s="140">
        <v>3</v>
      </c>
      <c r="C222" s="142" t="e">
        <f>INDEX(#REF!,MATCH(B222,#REF!,MATCH(A222,#REF!,0)))</f>
        <v>#REF!</v>
      </c>
      <c r="D222" s="141">
        <v>222</v>
      </c>
    </row>
    <row r="223" spans="1:4" x14ac:dyDescent="0.25">
      <c r="A223" s="130" t="s">
        <v>308</v>
      </c>
      <c r="B223" s="140">
        <v>4</v>
      </c>
      <c r="C223" s="142" t="e">
        <f>INDEX(#REF!,MATCH(B223,#REF!,MATCH(A223,#REF!,0)))</f>
        <v>#REF!</v>
      </c>
      <c r="D223" s="141">
        <v>223</v>
      </c>
    </row>
    <row r="224" spans="1:4" x14ac:dyDescent="0.25">
      <c r="A224" s="130" t="s">
        <v>308</v>
      </c>
      <c r="B224" s="140">
        <v>5</v>
      </c>
      <c r="C224" s="142" t="e">
        <f>INDEX(#REF!,MATCH(B224,#REF!,MATCH(A224,#REF!,0)))</f>
        <v>#REF!</v>
      </c>
      <c r="D224" s="141">
        <v>224</v>
      </c>
    </row>
    <row r="225" spans="1:4" x14ac:dyDescent="0.25">
      <c r="A225" s="130" t="s">
        <v>308</v>
      </c>
      <c r="B225" s="140">
        <v>6</v>
      </c>
      <c r="C225" s="142" t="e">
        <f>INDEX(#REF!,MATCH(B225,#REF!,MATCH(A225,#REF!,0)))</f>
        <v>#REF!</v>
      </c>
      <c r="D225" s="141">
        <v>225</v>
      </c>
    </row>
    <row r="226" spans="1:4" x14ac:dyDescent="0.25">
      <c r="A226" s="130" t="s">
        <v>308</v>
      </c>
      <c r="B226" s="140">
        <v>7</v>
      </c>
      <c r="C226" s="142" t="e">
        <f>INDEX(#REF!,MATCH(B226,#REF!,MATCH(A226,#REF!,0)))</f>
        <v>#REF!</v>
      </c>
      <c r="D226" s="141">
        <v>226</v>
      </c>
    </row>
    <row r="227" spans="1:4" x14ac:dyDescent="0.25">
      <c r="A227" s="130" t="s">
        <v>308</v>
      </c>
      <c r="B227" s="140">
        <v>8</v>
      </c>
      <c r="C227" s="142" t="e">
        <f>INDEX(#REF!,MATCH(B227,#REF!,MATCH(A227,#REF!,0)))</f>
        <v>#REF!</v>
      </c>
      <c r="D227" s="141">
        <v>227</v>
      </c>
    </row>
    <row r="228" spans="1:4" x14ac:dyDescent="0.25">
      <c r="A228" s="130" t="s">
        <v>308</v>
      </c>
      <c r="B228" s="140">
        <v>9</v>
      </c>
      <c r="C228" s="142" t="e">
        <f>INDEX(#REF!,MATCH(B228,#REF!,MATCH(A228,#REF!,0)))</f>
        <v>#REF!</v>
      </c>
      <c r="D228" s="141">
        <v>228</v>
      </c>
    </row>
    <row r="229" spans="1:4" x14ac:dyDescent="0.25">
      <c r="A229" s="130" t="s">
        <v>308</v>
      </c>
      <c r="B229" s="140">
        <v>10</v>
      </c>
      <c r="C229" s="142" t="e">
        <f>INDEX(#REF!,MATCH(B229,#REF!,MATCH(A229,#REF!,0)))</f>
        <v>#REF!</v>
      </c>
      <c r="D229" s="141">
        <v>229</v>
      </c>
    </row>
    <row r="230" spans="1:4" x14ac:dyDescent="0.25">
      <c r="A230" s="130" t="s">
        <v>308</v>
      </c>
      <c r="B230" s="140">
        <v>11</v>
      </c>
      <c r="C230" s="142" t="e">
        <f>INDEX(#REF!,MATCH(B230,#REF!,MATCH(A230,#REF!,0)))</f>
        <v>#REF!</v>
      </c>
      <c r="D230" s="141">
        <v>230</v>
      </c>
    </row>
    <row r="231" spans="1:4" x14ac:dyDescent="0.25">
      <c r="A231" s="130" t="s">
        <v>308</v>
      </c>
      <c r="B231" s="140">
        <v>12</v>
      </c>
      <c r="C231" s="142" t="e">
        <f>INDEX(#REF!,MATCH(B231,#REF!,MATCH(A231,#REF!,0)))</f>
        <v>#REF!</v>
      </c>
      <c r="D231" s="141">
        <v>231</v>
      </c>
    </row>
    <row r="232" spans="1:4" x14ac:dyDescent="0.25">
      <c r="A232" s="130" t="s">
        <v>308</v>
      </c>
      <c r="B232" s="140">
        <v>13</v>
      </c>
      <c r="C232" s="142" t="e">
        <f>INDEX(#REF!,MATCH(B232,#REF!,MATCH(A232,#REF!,0)))</f>
        <v>#REF!</v>
      </c>
      <c r="D232" s="141">
        <v>232</v>
      </c>
    </row>
    <row r="233" spans="1:4" x14ac:dyDescent="0.25">
      <c r="A233" s="130" t="s">
        <v>308</v>
      </c>
      <c r="B233" s="140">
        <v>14</v>
      </c>
      <c r="C233" s="142" t="e">
        <f>INDEX(#REF!,MATCH(B233,#REF!,MATCH(A233,#REF!,0)))</f>
        <v>#REF!</v>
      </c>
      <c r="D233" s="141">
        <v>233</v>
      </c>
    </row>
    <row r="234" spans="1:4" x14ac:dyDescent="0.25">
      <c r="A234" s="130" t="s">
        <v>308</v>
      </c>
      <c r="B234" s="140">
        <v>15</v>
      </c>
      <c r="C234" s="142" t="e">
        <f>INDEX(#REF!,MATCH(B234,#REF!,MATCH(A234,#REF!,0)))</f>
        <v>#REF!</v>
      </c>
      <c r="D234" s="141">
        <v>234</v>
      </c>
    </row>
    <row r="235" spans="1:4" x14ac:dyDescent="0.25">
      <c r="A235" s="130" t="s">
        <v>308</v>
      </c>
      <c r="B235" s="140">
        <v>16</v>
      </c>
      <c r="C235" s="142" t="e">
        <f>INDEX(#REF!,MATCH(B235,#REF!,MATCH(A235,#REF!,0)))</f>
        <v>#REF!</v>
      </c>
      <c r="D235" s="141">
        <v>235</v>
      </c>
    </row>
    <row r="236" spans="1:4" x14ac:dyDescent="0.25">
      <c r="A236" s="130" t="s">
        <v>308</v>
      </c>
      <c r="B236" s="140">
        <v>17</v>
      </c>
      <c r="C236" s="142" t="e">
        <f>INDEX(#REF!,MATCH(B236,#REF!,MATCH(A236,#REF!,0)))</f>
        <v>#REF!</v>
      </c>
      <c r="D236" s="141">
        <v>236</v>
      </c>
    </row>
    <row r="237" spans="1:4" x14ac:dyDescent="0.25">
      <c r="A237" s="130" t="s">
        <v>308</v>
      </c>
      <c r="B237" s="140">
        <v>18</v>
      </c>
      <c r="C237" s="142" t="e">
        <f>INDEX(#REF!,MATCH(B237,#REF!,MATCH(A237,#REF!,0)))</f>
        <v>#REF!</v>
      </c>
      <c r="D237" s="141">
        <v>237</v>
      </c>
    </row>
    <row r="238" spans="1:4" x14ac:dyDescent="0.25">
      <c r="A238" s="130" t="s">
        <v>308</v>
      </c>
      <c r="B238" s="140">
        <v>19</v>
      </c>
      <c r="C238" s="142" t="e">
        <f>INDEX(#REF!,MATCH(B238,#REF!,MATCH(A238,#REF!,0)))</f>
        <v>#REF!</v>
      </c>
      <c r="D238" s="141">
        <v>238</v>
      </c>
    </row>
    <row r="239" spans="1:4" x14ac:dyDescent="0.25">
      <c r="A239" s="130" t="s">
        <v>308</v>
      </c>
      <c r="B239" s="140">
        <v>20</v>
      </c>
      <c r="C239" s="142" t="e">
        <f>INDEX(#REF!,MATCH(B239,#REF!,MATCH(A239,#REF!,0)))</f>
        <v>#REF!</v>
      </c>
      <c r="D239" s="141">
        <v>239</v>
      </c>
    </row>
    <row r="240" spans="1:4" x14ac:dyDescent="0.25">
      <c r="A240" s="130" t="s">
        <v>308</v>
      </c>
      <c r="B240" s="140">
        <v>21</v>
      </c>
      <c r="C240" s="142" t="e">
        <f>INDEX(#REF!,MATCH(B240,#REF!,MATCH(A240,#REF!,0)))</f>
        <v>#REF!</v>
      </c>
      <c r="D240" s="141">
        <v>240</v>
      </c>
    </row>
    <row r="241" spans="1:4" x14ac:dyDescent="0.25">
      <c r="A241" s="130" t="s">
        <v>308</v>
      </c>
      <c r="B241" s="140">
        <v>22</v>
      </c>
      <c r="C241" s="142" t="e">
        <f>INDEX(#REF!,MATCH(B241,#REF!,MATCH(A241,#REF!,0)))</f>
        <v>#REF!</v>
      </c>
      <c r="D241" s="141">
        <v>241</v>
      </c>
    </row>
    <row r="242" spans="1:4" x14ac:dyDescent="0.25">
      <c r="A242" s="130" t="s">
        <v>308</v>
      </c>
      <c r="B242" s="140">
        <v>23</v>
      </c>
      <c r="C242" s="142" t="e">
        <f>INDEX(#REF!,MATCH(B242,#REF!,MATCH(A242,#REF!,0)))</f>
        <v>#REF!</v>
      </c>
      <c r="D242" s="141">
        <v>242</v>
      </c>
    </row>
    <row r="243" spans="1:4" x14ac:dyDescent="0.25">
      <c r="A243" s="130" t="s">
        <v>308</v>
      </c>
      <c r="B243" s="140">
        <v>24</v>
      </c>
      <c r="C243" s="142" t="e">
        <f>INDEX(#REF!,MATCH(B243,#REF!,MATCH(A243,#REF!,0)))</f>
        <v>#REF!</v>
      </c>
      <c r="D243" s="141">
        <v>243</v>
      </c>
    </row>
    <row r="244" spans="1:4" x14ac:dyDescent="0.25">
      <c r="A244" s="130" t="s">
        <v>308</v>
      </c>
      <c r="B244" s="140">
        <v>25</v>
      </c>
      <c r="C244" s="142" t="e">
        <f>INDEX(#REF!,MATCH(B244,#REF!,MATCH(A244,#REF!,0)))</f>
        <v>#REF!</v>
      </c>
      <c r="D244" s="141">
        <v>244</v>
      </c>
    </row>
    <row r="245" spans="1:4" x14ac:dyDescent="0.25">
      <c r="A245" s="130" t="s">
        <v>308</v>
      </c>
      <c r="B245" s="140">
        <v>26</v>
      </c>
      <c r="C245" s="142" t="e">
        <f>INDEX(#REF!,MATCH(B245,#REF!,MATCH(A245,#REF!,0)))</f>
        <v>#REF!</v>
      </c>
      <c r="D245" s="141">
        <v>245</v>
      </c>
    </row>
    <row r="246" spans="1:4" x14ac:dyDescent="0.25">
      <c r="A246" s="130" t="s">
        <v>308</v>
      </c>
      <c r="B246" s="140">
        <v>27</v>
      </c>
      <c r="C246" s="142" t="e">
        <f>INDEX(#REF!,MATCH(B246,#REF!,MATCH(A246,#REF!,0)))</f>
        <v>#REF!</v>
      </c>
      <c r="D246" s="141">
        <v>246</v>
      </c>
    </row>
    <row r="247" spans="1:4" x14ac:dyDescent="0.25">
      <c r="A247" s="130" t="s">
        <v>308</v>
      </c>
      <c r="B247" s="140">
        <v>28</v>
      </c>
      <c r="C247" s="142" t="e">
        <f>INDEX(#REF!,MATCH(B247,#REF!,MATCH(A247,#REF!,0)))</f>
        <v>#REF!</v>
      </c>
      <c r="D247" s="141">
        <v>247</v>
      </c>
    </row>
    <row r="248" spans="1:4" x14ac:dyDescent="0.25">
      <c r="A248" s="130" t="s">
        <v>308</v>
      </c>
      <c r="B248" s="140">
        <v>29</v>
      </c>
      <c r="C248" s="142" t="e">
        <f>INDEX(#REF!,MATCH(B248,#REF!,MATCH(A248,#REF!,0)))</f>
        <v>#REF!</v>
      </c>
      <c r="D248" s="141">
        <v>248</v>
      </c>
    </row>
    <row r="249" spans="1:4" x14ac:dyDescent="0.25">
      <c r="A249" s="130" t="s">
        <v>308</v>
      </c>
      <c r="B249" s="140">
        <v>30</v>
      </c>
      <c r="C249" s="142" t="e">
        <f>INDEX(#REF!,MATCH(B249,#REF!,MATCH(A249,#REF!,0)))</f>
        <v>#REF!</v>
      </c>
      <c r="D249" s="141">
        <v>249</v>
      </c>
    </row>
    <row r="250" spans="1:4" x14ac:dyDescent="0.25">
      <c r="A250" s="130" t="s">
        <v>298</v>
      </c>
      <c r="B250" s="130">
        <v>0</v>
      </c>
      <c r="C250" s="131" t="e">
        <f>INDEX(#REF!,MATCH(B250,#REF!,MATCH(A250,#REF!,0)))</f>
        <v>#REF!</v>
      </c>
      <c r="D250" s="141">
        <v>250</v>
      </c>
    </row>
    <row r="251" spans="1:4" x14ac:dyDescent="0.25">
      <c r="A251" s="130" t="s">
        <v>298</v>
      </c>
      <c r="B251" s="130">
        <v>1</v>
      </c>
      <c r="C251" s="131" t="e">
        <f>INDEX(#REF!,MATCH(B251,#REF!,MATCH(A251,#REF!,0)))</f>
        <v>#REF!</v>
      </c>
      <c r="D251" s="141">
        <v>251</v>
      </c>
    </row>
    <row r="252" spans="1:4" x14ac:dyDescent="0.25">
      <c r="A252" s="130" t="s">
        <v>298</v>
      </c>
      <c r="B252" s="130">
        <v>2</v>
      </c>
      <c r="C252" s="131" t="e">
        <f>INDEX(#REF!,MATCH(B252,#REF!,MATCH(A252,#REF!,0)))</f>
        <v>#REF!</v>
      </c>
      <c r="D252" s="141">
        <v>252</v>
      </c>
    </row>
    <row r="253" spans="1:4" x14ac:dyDescent="0.25">
      <c r="A253" s="130" t="s">
        <v>298</v>
      </c>
      <c r="B253" s="130">
        <v>3</v>
      </c>
      <c r="C253" s="131" t="e">
        <f>INDEX(#REF!,MATCH(B253,#REF!,MATCH(A253,#REF!,0)))</f>
        <v>#REF!</v>
      </c>
      <c r="D253" s="141">
        <v>253</v>
      </c>
    </row>
    <row r="254" spans="1:4" x14ac:dyDescent="0.25">
      <c r="A254" s="130" t="s">
        <v>298</v>
      </c>
      <c r="B254" s="130">
        <v>4</v>
      </c>
      <c r="C254" s="131" t="e">
        <f>INDEX(#REF!,MATCH(B254,#REF!,MATCH(A254,#REF!,0)))</f>
        <v>#REF!</v>
      </c>
      <c r="D254" s="141">
        <v>254</v>
      </c>
    </row>
    <row r="255" spans="1:4" x14ac:dyDescent="0.25">
      <c r="A255" s="130" t="s">
        <v>298</v>
      </c>
      <c r="B255" s="130">
        <v>5</v>
      </c>
      <c r="C255" s="131" t="e">
        <f>INDEX(#REF!,MATCH(B255,#REF!,MATCH(A255,#REF!,0)))</f>
        <v>#REF!</v>
      </c>
      <c r="D255" s="141">
        <v>255</v>
      </c>
    </row>
    <row r="256" spans="1:4" x14ac:dyDescent="0.25">
      <c r="A256" s="130" t="s">
        <v>298</v>
      </c>
      <c r="B256" s="130">
        <v>6</v>
      </c>
      <c r="C256" s="131" t="e">
        <f>INDEX(#REF!,MATCH(B256,#REF!,MATCH(A256,#REF!,0)))</f>
        <v>#REF!</v>
      </c>
      <c r="D256" s="141">
        <v>256</v>
      </c>
    </row>
    <row r="257" spans="1:4" x14ac:dyDescent="0.25">
      <c r="A257" s="130" t="s">
        <v>298</v>
      </c>
      <c r="B257" s="130">
        <v>7</v>
      </c>
      <c r="C257" s="131" t="e">
        <f>INDEX(#REF!,MATCH(B257,#REF!,MATCH(A257,#REF!,0)))</f>
        <v>#REF!</v>
      </c>
      <c r="D257" s="141">
        <v>257</v>
      </c>
    </row>
    <row r="258" spans="1:4" x14ac:dyDescent="0.25">
      <c r="A258" s="130" t="s">
        <v>298</v>
      </c>
      <c r="B258" s="130">
        <v>8</v>
      </c>
      <c r="C258" s="131" t="e">
        <f>INDEX(#REF!,MATCH(B258,#REF!,MATCH(A258,#REF!,0)))</f>
        <v>#REF!</v>
      </c>
      <c r="D258" s="141">
        <v>258</v>
      </c>
    </row>
    <row r="259" spans="1:4" x14ac:dyDescent="0.25">
      <c r="A259" s="130" t="s">
        <v>298</v>
      </c>
      <c r="B259" s="130">
        <v>9</v>
      </c>
      <c r="C259" s="131" t="e">
        <f>INDEX(#REF!,MATCH(B259,#REF!,MATCH(A259,#REF!,0)))</f>
        <v>#REF!</v>
      </c>
      <c r="D259" s="141">
        <v>259</v>
      </c>
    </row>
    <row r="260" spans="1:4" x14ac:dyDescent="0.25">
      <c r="A260" s="130" t="s">
        <v>298</v>
      </c>
      <c r="B260" s="130">
        <v>10</v>
      </c>
      <c r="C260" s="131" t="e">
        <f>INDEX(#REF!,MATCH(B260,#REF!,MATCH(A260,#REF!,0)))</f>
        <v>#REF!</v>
      </c>
      <c r="D260" s="141">
        <v>260</v>
      </c>
    </row>
    <row r="261" spans="1:4" x14ac:dyDescent="0.25">
      <c r="A261" s="130" t="s">
        <v>298</v>
      </c>
      <c r="B261" s="130">
        <v>11</v>
      </c>
      <c r="C261" s="131" t="e">
        <f>INDEX(#REF!,MATCH(B261,#REF!,MATCH(A261,#REF!,0)))</f>
        <v>#REF!</v>
      </c>
      <c r="D261" s="141">
        <v>261</v>
      </c>
    </row>
    <row r="262" spans="1:4" x14ac:dyDescent="0.25">
      <c r="A262" s="130" t="s">
        <v>298</v>
      </c>
      <c r="B262" s="130">
        <v>12</v>
      </c>
      <c r="C262" s="131" t="e">
        <f>INDEX(#REF!,MATCH(B262,#REF!,MATCH(A262,#REF!,0)))</f>
        <v>#REF!</v>
      </c>
      <c r="D262" s="141">
        <v>262</v>
      </c>
    </row>
    <row r="263" spans="1:4" x14ac:dyDescent="0.25">
      <c r="A263" s="130" t="s">
        <v>298</v>
      </c>
      <c r="B263" s="130">
        <v>13</v>
      </c>
      <c r="C263" s="131" t="e">
        <f>INDEX(#REF!,MATCH(B263,#REF!,MATCH(A263,#REF!,0)))</f>
        <v>#REF!</v>
      </c>
      <c r="D263" s="141">
        <v>263</v>
      </c>
    </row>
    <row r="264" spans="1:4" x14ac:dyDescent="0.25">
      <c r="A264" s="130" t="s">
        <v>298</v>
      </c>
      <c r="B264" s="130">
        <v>14</v>
      </c>
      <c r="C264" s="131" t="e">
        <f>INDEX(#REF!,MATCH(B264,#REF!,MATCH(A264,#REF!,0)))</f>
        <v>#REF!</v>
      </c>
      <c r="D264" s="141">
        <v>264</v>
      </c>
    </row>
    <row r="265" spans="1:4" x14ac:dyDescent="0.25">
      <c r="A265" s="130" t="s">
        <v>298</v>
      </c>
      <c r="B265" s="130">
        <v>15</v>
      </c>
      <c r="C265" s="131" t="e">
        <f>INDEX(#REF!,MATCH(B265,#REF!,MATCH(A265,#REF!,0)))</f>
        <v>#REF!</v>
      </c>
      <c r="D265" s="141">
        <v>265</v>
      </c>
    </row>
    <row r="266" spans="1:4" x14ac:dyDescent="0.25">
      <c r="A266" s="130" t="s">
        <v>298</v>
      </c>
      <c r="B266" s="130">
        <v>16</v>
      </c>
      <c r="C266" s="131" t="e">
        <f>INDEX(#REF!,MATCH(B266,#REF!,MATCH(A266,#REF!,0)))</f>
        <v>#REF!</v>
      </c>
      <c r="D266" s="141">
        <v>266</v>
      </c>
    </row>
    <row r="267" spans="1:4" x14ac:dyDescent="0.25">
      <c r="A267" s="130" t="s">
        <v>298</v>
      </c>
      <c r="B267" s="130">
        <v>17</v>
      </c>
      <c r="C267" s="131" t="e">
        <f>INDEX(#REF!,MATCH(B267,#REF!,MATCH(A267,#REF!,0)))</f>
        <v>#REF!</v>
      </c>
      <c r="D267" s="141">
        <v>267</v>
      </c>
    </row>
    <row r="268" spans="1:4" x14ac:dyDescent="0.25">
      <c r="A268" s="130" t="s">
        <v>298</v>
      </c>
      <c r="B268" s="130">
        <v>18</v>
      </c>
      <c r="C268" s="131" t="e">
        <f>INDEX(#REF!,MATCH(B268,#REF!,MATCH(A268,#REF!,0)))</f>
        <v>#REF!</v>
      </c>
      <c r="D268" s="141">
        <v>268</v>
      </c>
    </row>
    <row r="269" spans="1:4" x14ac:dyDescent="0.25">
      <c r="A269" s="130" t="s">
        <v>298</v>
      </c>
      <c r="B269" s="130">
        <v>19</v>
      </c>
      <c r="C269" s="131" t="e">
        <f>INDEX(#REF!,MATCH(B269,#REF!,MATCH(A269,#REF!,0)))</f>
        <v>#REF!</v>
      </c>
      <c r="D269" s="141">
        <v>269</v>
      </c>
    </row>
    <row r="270" spans="1:4" x14ac:dyDescent="0.25">
      <c r="A270" s="130" t="s">
        <v>298</v>
      </c>
      <c r="B270" s="130">
        <v>20</v>
      </c>
      <c r="C270" s="131" t="e">
        <f>INDEX(#REF!,MATCH(B270,#REF!,MATCH(A270,#REF!,0)))</f>
        <v>#REF!</v>
      </c>
      <c r="D270" s="141">
        <v>270</v>
      </c>
    </row>
    <row r="271" spans="1:4" x14ac:dyDescent="0.25">
      <c r="A271" s="130" t="s">
        <v>298</v>
      </c>
      <c r="B271" s="130">
        <v>21</v>
      </c>
      <c r="C271" s="131" t="e">
        <f>INDEX(#REF!,MATCH(B271,#REF!,MATCH(A271,#REF!,0)))</f>
        <v>#REF!</v>
      </c>
      <c r="D271" s="141">
        <v>271</v>
      </c>
    </row>
    <row r="272" spans="1:4" x14ac:dyDescent="0.25">
      <c r="A272" s="130" t="s">
        <v>298</v>
      </c>
      <c r="B272" s="130">
        <v>22</v>
      </c>
      <c r="C272" s="131" t="e">
        <f>INDEX(#REF!,MATCH(B272,#REF!,MATCH(A272,#REF!,0)))</f>
        <v>#REF!</v>
      </c>
      <c r="D272" s="141">
        <v>272</v>
      </c>
    </row>
    <row r="273" spans="1:4" x14ac:dyDescent="0.25">
      <c r="A273" s="130" t="s">
        <v>298</v>
      </c>
      <c r="B273" s="130">
        <v>23</v>
      </c>
      <c r="C273" s="131" t="e">
        <f>INDEX(#REF!,MATCH(B273,#REF!,MATCH(A273,#REF!,0)))</f>
        <v>#REF!</v>
      </c>
      <c r="D273" s="141">
        <v>273</v>
      </c>
    </row>
    <row r="274" spans="1:4" x14ac:dyDescent="0.25">
      <c r="A274" s="130" t="s">
        <v>298</v>
      </c>
      <c r="B274" s="130">
        <v>24</v>
      </c>
      <c r="C274" s="131" t="e">
        <f>INDEX(#REF!,MATCH(B274,#REF!,MATCH(A274,#REF!,0)))</f>
        <v>#REF!</v>
      </c>
      <c r="D274" s="141">
        <v>274</v>
      </c>
    </row>
    <row r="275" spans="1:4" x14ac:dyDescent="0.25">
      <c r="A275" s="130" t="s">
        <v>298</v>
      </c>
      <c r="B275" s="130">
        <v>25</v>
      </c>
      <c r="C275" s="131" t="e">
        <f>INDEX(#REF!,MATCH(B275,#REF!,MATCH(A275,#REF!,0)))</f>
        <v>#REF!</v>
      </c>
      <c r="D275" s="141">
        <v>275</v>
      </c>
    </row>
    <row r="276" spans="1:4" x14ac:dyDescent="0.25">
      <c r="A276" s="130" t="s">
        <v>298</v>
      </c>
      <c r="B276" s="130">
        <v>26</v>
      </c>
      <c r="C276" s="131" t="e">
        <f>INDEX(#REF!,MATCH(B276,#REF!,MATCH(A276,#REF!,0)))</f>
        <v>#REF!</v>
      </c>
      <c r="D276" s="141">
        <v>276</v>
      </c>
    </row>
    <row r="277" spans="1:4" x14ac:dyDescent="0.25">
      <c r="A277" s="130" t="s">
        <v>298</v>
      </c>
      <c r="B277" s="130">
        <v>27</v>
      </c>
      <c r="C277" s="131" t="e">
        <f>INDEX(#REF!,MATCH(B277,#REF!,MATCH(A277,#REF!,0)))</f>
        <v>#REF!</v>
      </c>
      <c r="D277" s="141">
        <v>277</v>
      </c>
    </row>
    <row r="278" spans="1:4" x14ac:dyDescent="0.25">
      <c r="A278" s="130" t="s">
        <v>298</v>
      </c>
      <c r="B278" s="130">
        <v>28</v>
      </c>
      <c r="C278" s="131" t="e">
        <f>INDEX(#REF!,MATCH(B278,#REF!,MATCH(A278,#REF!,0)))</f>
        <v>#REF!</v>
      </c>
      <c r="D278" s="141">
        <v>278</v>
      </c>
    </row>
    <row r="279" spans="1:4" x14ac:dyDescent="0.25">
      <c r="A279" s="130" t="s">
        <v>298</v>
      </c>
      <c r="B279" s="130">
        <v>29</v>
      </c>
      <c r="C279" s="131" t="e">
        <f>INDEX(#REF!,MATCH(B279,#REF!,MATCH(A279,#REF!,0)))</f>
        <v>#REF!</v>
      </c>
      <c r="D279" s="141">
        <v>279</v>
      </c>
    </row>
    <row r="280" spans="1:4" x14ac:dyDescent="0.25">
      <c r="A280" s="130" t="s">
        <v>298</v>
      </c>
      <c r="B280" s="130">
        <v>30</v>
      </c>
      <c r="C280" s="131" t="e">
        <f>INDEX(#REF!,MATCH(B280,#REF!,MATCH(A280,#REF!,0)))</f>
        <v>#REF!</v>
      </c>
      <c r="D280" s="141">
        <v>280</v>
      </c>
    </row>
    <row r="281" spans="1:4" x14ac:dyDescent="0.25">
      <c r="A281" s="130" t="s">
        <v>299</v>
      </c>
      <c r="B281" s="130">
        <v>0</v>
      </c>
      <c r="C281" s="131" t="e">
        <f>INDEX(#REF!,MATCH(B281,#REF!,MATCH(A281,#REF!,0)))</f>
        <v>#REF!</v>
      </c>
      <c r="D281" s="141">
        <v>281</v>
      </c>
    </row>
    <row r="282" spans="1:4" x14ac:dyDescent="0.25">
      <c r="A282" s="130" t="s">
        <v>299</v>
      </c>
      <c r="B282" s="130">
        <v>1</v>
      </c>
      <c r="C282" s="131" t="e">
        <f>INDEX(#REF!,MATCH(B282,#REF!,MATCH(A282,#REF!,0)))</f>
        <v>#REF!</v>
      </c>
      <c r="D282" s="141">
        <v>282</v>
      </c>
    </row>
    <row r="283" spans="1:4" x14ac:dyDescent="0.25">
      <c r="A283" s="130" t="s">
        <v>299</v>
      </c>
      <c r="B283" s="130">
        <v>2</v>
      </c>
      <c r="C283" s="131" t="e">
        <f>INDEX(#REF!,MATCH(B283,#REF!,MATCH(A283,#REF!,0)))</f>
        <v>#REF!</v>
      </c>
      <c r="D283" s="141">
        <v>283</v>
      </c>
    </row>
    <row r="284" spans="1:4" x14ac:dyDescent="0.25">
      <c r="A284" s="130" t="s">
        <v>299</v>
      </c>
      <c r="B284" s="130">
        <v>3</v>
      </c>
      <c r="C284" s="131" t="e">
        <f>INDEX(#REF!,MATCH(B284,#REF!,MATCH(A284,#REF!,0)))</f>
        <v>#REF!</v>
      </c>
      <c r="D284" s="141">
        <v>284</v>
      </c>
    </row>
    <row r="285" spans="1:4" x14ac:dyDescent="0.25">
      <c r="A285" s="130" t="s">
        <v>299</v>
      </c>
      <c r="B285" s="130">
        <v>4</v>
      </c>
      <c r="C285" s="131" t="e">
        <f>INDEX(#REF!,MATCH(B285,#REF!,MATCH(A285,#REF!,0)))</f>
        <v>#REF!</v>
      </c>
      <c r="D285" s="141">
        <v>285</v>
      </c>
    </row>
    <row r="286" spans="1:4" x14ac:dyDescent="0.25">
      <c r="A286" s="130" t="s">
        <v>299</v>
      </c>
      <c r="B286" s="130">
        <v>5</v>
      </c>
      <c r="C286" s="131" t="e">
        <f>INDEX(#REF!,MATCH(B286,#REF!,MATCH(A286,#REF!,0)))</f>
        <v>#REF!</v>
      </c>
      <c r="D286" s="141">
        <v>286</v>
      </c>
    </row>
    <row r="287" spans="1:4" x14ac:dyDescent="0.25">
      <c r="A287" s="130" t="s">
        <v>299</v>
      </c>
      <c r="B287" s="130">
        <v>6</v>
      </c>
      <c r="C287" s="131" t="e">
        <f>INDEX(#REF!,MATCH(B287,#REF!,MATCH(A287,#REF!,0)))</f>
        <v>#REF!</v>
      </c>
      <c r="D287" s="141">
        <v>287</v>
      </c>
    </row>
    <row r="288" spans="1:4" x14ac:dyDescent="0.25">
      <c r="A288" s="130" t="s">
        <v>299</v>
      </c>
      <c r="B288" s="130">
        <v>7</v>
      </c>
      <c r="C288" s="131" t="e">
        <f>INDEX(#REF!,MATCH(B288,#REF!,MATCH(A288,#REF!,0)))</f>
        <v>#REF!</v>
      </c>
      <c r="D288" s="141">
        <v>288</v>
      </c>
    </row>
    <row r="289" spans="1:4" x14ac:dyDescent="0.25">
      <c r="A289" s="130" t="s">
        <v>299</v>
      </c>
      <c r="B289" s="130">
        <v>8</v>
      </c>
      <c r="C289" s="131" t="e">
        <f>INDEX(#REF!,MATCH(B289,#REF!,MATCH(A289,#REF!,0)))</f>
        <v>#REF!</v>
      </c>
      <c r="D289" s="141">
        <v>289</v>
      </c>
    </row>
    <row r="290" spans="1:4" x14ac:dyDescent="0.25">
      <c r="A290" s="130" t="s">
        <v>299</v>
      </c>
      <c r="B290" s="130">
        <v>9</v>
      </c>
      <c r="C290" s="131" t="e">
        <f>INDEX(#REF!,MATCH(B290,#REF!,MATCH(A290,#REF!,0)))</f>
        <v>#REF!</v>
      </c>
      <c r="D290" s="141">
        <v>290</v>
      </c>
    </row>
    <row r="291" spans="1:4" x14ac:dyDescent="0.25">
      <c r="A291" s="130" t="s">
        <v>299</v>
      </c>
      <c r="B291" s="130">
        <v>10</v>
      </c>
      <c r="C291" s="131" t="e">
        <f>INDEX(#REF!,MATCH(B291,#REF!,MATCH(A291,#REF!,0)))</f>
        <v>#REF!</v>
      </c>
      <c r="D291" s="141">
        <v>291</v>
      </c>
    </row>
    <row r="292" spans="1:4" x14ac:dyDescent="0.25">
      <c r="A292" s="130" t="s">
        <v>299</v>
      </c>
      <c r="B292" s="130">
        <v>11</v>
      </c>
      <c r="C292" s="131" t="e">
        <f>INDEX(#REF!,MATCH(B292,#REF!,MATCH(A292,#REF!,0)))</f>
        <v>#REF!</v>
      </c>
      <c r="D292" s="141">
        <v>292</v>
      </c>
    </row>
    <row r="293" spans="1:4" x14ac:dyDescent="0.25">
      <c r="A293" s="130" t="s">
        <v>299</v>
      </c>
      <c r="B293" s="130">
        <v>12</v>
      </c>
      <c r="C293" s="131" t="e">
        <f>INDEX(#REF!,MATCH(B293,#REF!,MATCH(A293,#REF!,0)))</f>
        <v>#REF!</v>
      </c>
      <c r="D293" s="141">
        <v>293</v>
      </c>
    </row>
    <row r="294" spans="1:4" x14ac:dyDescent="0.25">
      <c r="A294" s="130" t="s">
        <v>299</v>
      </c>
      <c r="B294" s="130">
        <v>13</v>
      </c>
      <c r="C294" s="131" t="e">
        <f>INDEX(#REF!,MATCH(B294,#REF!,MATCH(A294,#REF!,0)))</f>
        <v>#REF!</v>
      </c>
      <c r="D294" s="141">
        <v>294</v>
      </c>
    </row>
    <row r="295" spans="1:4" x14ac:dyDescent="0.25">
      <c r="A295" s="130" t="s">
        <v>299</v>
      </c>
      <c r="B295" s="130">
        <v>14</v>
      </c>
      <c r="C295" s="131" t="e">
        <f>INDEX(#REF!,MATCH(B295,#REF!,MATCH(A295,#REF!,0)))</f>
        <v>#REF!</v>
      </c>
      <c r="D295" s="141">
        <v>295</v>
      </c>
    </row>
    <row r="296" spans="1:4" x14ac:dyDescent="0.25">
      <c r="A296" s="130" t="s">
        <v>299</v>
      </c>
      <c r="B296" s="130">
        <v>15</v>
      </c>
      <c r="C296" s="131" t="e">
        <f>INDEX(#REF!,MATCH(B296,#REF!,MATCH(A296,#REF!,0)))</f>
        <v>#REF!</v>
      </c>
      <c r="D296" s="141">
        <v>296</v>
      </c>
    </row>
    <row r="297" spans="1:4" x14ac:dyDescent="0.25">
      <c r="A297" s="130" t="s">
        <v>299</v>
      </c>
      <c r="B297" s="130">
        <v>16</v>
      </c>
      <c r="C297" s="131" t="e">
        <f>INDEX(#REF!,MATCH(B297,#REF!,MATCH(A297,#REF!,0)))</f>
        <v>#REF!</v>
      </c>
      <c r="D297" s="141">
        <v>297</v>
      </c>
    </row>
    <row r="298" spans="1:4" x14ac:dyDescent="0.25">
      <c r="A298" s="130" t="s">
        <v>299</v>
      </c>
      <c r="B298" s="130">
        <v>17</v>
      </c>
      <c r="C298" s="131" t="e">
        <f>INDEX(#REF!,MATCH(B298,#REF!,MATCH(A298,#REF!,0)))</f>
        <v>#REF!</v>
      </c>
      <c r="D298" s="141">
        <v>298</v>
      </c>
    </row>
    <row r="299" spans="1:4" x14ac:dyDescent="0.25">
      <c r="A299" s="130" t="s">
        <v>299</v>
      </c>
      <c r="B299" s="130">
        <v>18</v>
      </c>
      <c r="C299" s="131" t="e">
        <f>INDEX(#REF!,MATCH(B299,#REF!,MATCH(A299,#REF!,0)))</f>
        <v>#REF!</v>
      </c>
      <c r="D299" s="141">
        <v>299</v>
      </c>
    </row>
    <row r="300" spans="1:4" x14ac:dyDescent="0.25">
      <c r="A300" s="130" t="s">
        <v>299</v>
      </c>
      <c r="B300" s="130">
        <v>19</v>
      </c>
      <c r="C300" s="131" t="e">
        <f>INDEX(#REF!,MATCH(B300,#REF!,MATCH(A300,#REF!,0)))</f>
        <v>#REF!</v>
      </c>
      <c r="D300" s="141">
        <v>300</v>
      </c>
    </row>
    <row r="301" spans="1:4" x14ac:dyDescent="0.25">
      <c r="A301" s="130" t="s">
        <v>299</v>
      </c>
      <c r="B301" s="130">
        <v>20</v>
      </c>
      <c r="C301" s="131" t="e">
        <f>INDEX(#REF!,MATCH(B301,#REF!,MATCH(A301,#REF!,0)))</f>
        <v>#REF!</v>
      </c>
      <c r="D301" s="141">
        <v>301</v>
      </c>
    </row>
    <row r="302" spans="1:4" x14ac:dyDescent="0.25">
      <c r="A302" s="130" t="s">
        <v>299</v>
      </c>
      <c r="B302" s="130">
        <v>21</v>
      </c>
      <c r="C302" s="131" t="e">
        <f>INDEX(#REF!,MATCH(B302,#REF!,MATCH(A302,#REF!,0)))</f>
        <v>#REF!</v>
      </c>
      <c r="D302" s="141">
        <v>302</v>
      </c>
    </row>
    <row r="303" spans="1:4" x14ac:dyDescent="0.25">
      <c r="A303" s="130" t="s">
        <v>299</v>
      </c>
      <c r="B303" s="130">
        <v>22</v>
      </c>
      <c r="C303" s="131" t="e">
        <f>INDEX(#REF!,MATCH(B303,#REF!,MATCH(A303,#REF!,0)))</f>
        <v>#REF!</v>
      </c>
      <c r="D303" s="141">
        <v>303</v>
      </c>
    </row>
    <row r="304" spans="1:4" x14ac:dyDescent="0.25">
      <c r="A304" s="130" t="s">
        <v>299</v>
      </c>
      <c r="B304" s="130">
        <v>23</v>
      </c>
      <c r="C304" s="131" t="e">
        <f>INDEX(#REF!,MATCH(B304,#REF!,MATCH(A304,#REF!,0)))</f>
        <v>#REF!</v>
      </c>
      <c r="D304" s="141">
        <v>304</v>
      </c>
    </row>
    <row r="305" spans="1:4" x14ac:dyDescent="0.25">
      <c r="A305" s="130" t="s">
        <v>299</v>
      </c>
      <c r="B305" s="130">
        <v>24</v>
      </c>
      <c r="C305" s="131" t="e">
        <f>INDEX(#REF!,MATCH(B305,#REF!,MATCH(A305,#REF!,0)))</f>
        <v>#REF!</v>
      </c>
      <c r="D305" s="141">
        <v>305</v>
      </c>
    </row>
    <row r="306" spans="1:4" x14ac:dyDescent="0.25">
      <c r="A306" s="130" t="s">
        <v>299</v>
      </c>
      <c r="B306" s="130">
        <v>25</v>
      </c>
      <c r="C306" s="131" t="e">
        <f>INDEX(#REF!,MATCH(B306,#REF!,MATCH(A306,#REF!,0)))</f>
        <v>#REF!</v>
      </c>
      <c r="D306" s="141">
        <v>306</v>
      </c>
    </row>
    <row r="307" spans="1:4" x14ac:dyDescent="0.25">
      <c r="A307" s="130" t="s">
        <v>299</v>
      </c>
      <c r="B307" s="130">
        <v>26</v>
      </c>
      <c r="C307" s="131" t="e">
        <f>INDEX(#REF!,MATCH(B307,#REF!,MATCH(A307,#REF!,0)))</f>
        <v>#REF!</v>
      </c>
      <c r="D307" s="141">
        <v>307</v>
      </c>
    </row>
    <row r="308" spans="1:4" x14ac:dyDescent="0.25">
      <c r="A308" s="130" t="s">
        <v>299</v>
      </c>
      <c r="B308" s="130">
        <v>27</v>
      </c>
      <c r="C308" s="131" t="e">
        <f>INDEX(#REF!,MATCH(B308,#REF!,MATCH(A308,#REF!,0)))</f>
        <v>#REF!</v>
      </c>
      <c r="D308" s="141">
        <v>308</v>
      </c>
    </row>
    <row r="309" spans="1:4" x14ac:dyDescent="0.25">
      <c r="A309" s="130" t="s">
        <v>299</v>
      </c>
      <c r="B309" s="130">
        <v>28</v>
      </c>
      <c r="C309" s="131" t="e">
        <f>INDEX(#REF!,MATCH(B309,#REF!,MATCH(A309,#REF!,0)))</f>
        <v>#REF!</v>
      </c>
      <c r="D309" s="141">
        <v>309</v>
      </c>
    </row>
    <row r="310" spans="1:4" x14ac:dyDescent="0.25">
      <c r="A310" s="130" t="s">
        <v>299</v>
      </c>
      <c r="B310" s="130">
        <v>29</v>
      </c>
      <c r="C310" s="131" t="e">
        <f>INDEX(#REF!,MATCH(B310,#REF!,MATCH(A310,#REF!,0)))</f>
        <v>#REF!</v>
      </c>
      <c r="D310" s="141">
        <v>310</v>
      </c>
    </row>
    <row r="311" spans="1:4" x14ac:dyDescent="0.25">
      <c r="A311" s="130" t="s">
        <v>299</v>
      </c>
      <c r="B311" s="130">
        <v>30</v>
      </c>
      <c r="C311" s="131" t="e">
        <f>INDEX(#REF!,MATCH(B311,#REF!,MATCH(A311,#REF!,0)))</f>
        <v>#REF!</v>
      </c>
      <c r="D311" s="141">
        <v>311</v>
      </c>
    </row>
    <row r="312" spans="1:4" x14ac:dyDescent="0.25">
      <c r="A312" s="130" t="s">
        <v>300</v>
      </c>
      <c r="B312" s="130">
        <v>0</v>
      </c>
      <c r="C312" s="131" t="e">
        <f>INDEX(#REF!,MATCH(B312,#REF!,MATCH(A312,#REF!,0)))</f>
        <v>#REF!</v>
      </c>
      <c r="D312" s="141">
        <v>312</v>
      </c>
    </row>
    <row r="313" spans="1:4" x14ac:dyDescent="0.25">
      <c r="A313" s="130" t="s">
        <v>300</v>
      </c>
      <c r="B313" s="130">
        <v>1</v>
      </c>
      <c r="C313" s="131" t="e">
        <f>INDEX(#REF!,MATCH(B313,#REF!,MATCH(A313,#REF!,0)))</f>
        <v>#REF!</v>
      </c>
      <c r="D313" s="141">
        <v>313</v>
      </c>
    </row>
    <row r="314" spans="1:4" x14ac:dyDescent="0.25">
      <c r="A314" s="130" t="s">
        <v>300</v>
      </c>
      <c r="B314" s="130">
        <v>2</v>
      </c>
      <c r="C314" s="131" t="e">
        <f>INDEX(#REF!,MATCH(B314,#REF!,MATCH(A314,#REF!,0)))</f>
        <v>#REF!</v>
      </c>
      <c r="D314" s="141">
        <v>314</v>
      </c>
    </row>
    <row r="315" spans="1:4" x14ac:dyDescent="0.25">
      <c r="A315" s="130" t="s">
        <v>300</v>
      </c>
      <c r="B315" s="130">
        <v>3</v>
      </c>
      <c r="C315" s="131" t="e">
        <f>INDEX(#REF!,MATCH(B315,#REF!,MATCH(A315,#REF!,0)))</f>
        <v>#REF!</v>
      </c>
      <c r="D315" s="141">
        <v>315</v>
      </c>
    </row>
    <row r="316" spans="1:4" x14ac:dyDescent="0.25">
      <c r="A316" s="130" t="s">
        <v>300</v>
      </c>
      <c r="B316" s="130">
        <v>4</v>
      </c>
      <c r="C316" s="131" t="e">
        <f>INDEX(#REF!,MATCH(B316,#REF!,MATCH(A316,#REF!,0)))</f>
        <v>#REF!</v>
      </c>
      <c r="D316" s="141">
        <v>316</v>
      </c>
    </row>
    <row r="317" spans="1:4" x14ac:dyDescent="0.25">
      <c r="A317" s="130" t="s">
        <v>300</v>
      </c>
      <c r="B317" s="130">
        <v>5</v>
      </c>
      <c r="C317" s="131" t="e">
        <f>INDEX(#REF!,MATCH(B317,#REF!,MATCH(A317,#REF!,0)))</f>
        <v>#REF!</v>
      </c>
      <c r="D317" s="141">
        <v>317</v>
      </c>
    </row>
    <row r="318" spans="1:4" x14ac:dyDescent="0.25">
      <c r="A318" s="130" t="s">
        <v>300</v>
      </c>
      <c r="B318" s="130">
        <v>6</v>
      </c>
      <c r="C318" s="131" t="e">
        <f>INDEX(#REF!,MATCH(B318,#REF!,MATCH(A318,#REF!,0)))</f>
        <v>#REF!</v>
      </c>
      <c r="D318" s="141">
        <v>318</v>
      </c>
    </row>
    <row r="319" spans="1:4" x14ac:dyDescent="0.25">
      <c r="A319" s="130" t="s">
        <v>300</v>
      </c>
      <c r="B319" s="130">
        <v>7</v>
      </c>
      <c r="C319" s="131" t="e">
        <f>INDEX(#REF!,MATCH(B319,#REF!,MATCH(A319,#REF!,0)))</f>
        <v>#REF!</v>
      </c>
      <c r="D319" s="141">
        <v>319</v>
      </c>
    </row>
    <row r="320" spans="1:4" x14ac:dyDescent="0.25">
      <c r="A320" s="130" t="s">
        <v>300</v>
      </c>
      <c r="B320" s="130">
        <v>8</v>
      </c>
      <c r="C320" s="131" t="e">
        <f>INDEX(#REF!,MATCH(B320,#REF!,MATCH(A320,#REF!,0)))</f>
        <v>#REF!</v>
      </c>
      <c r="D320" s="141">
        <v>320</v>
      </c>
    </row>
    <row r="321" spans="1:4" x14ac:dyDescent="0.25">
      <c r="A321" s="130" t="s">
        <v>300</v>
      </c>
      <c r="B321" s="130">
        <v>9</v>
      </c>
      <c r="C321" s="131" t="e">
        <f>INDEX(#REF!,MATCH(B321,#REF!,MATCH(A321,#REF!,0)))</f>
        <v>#REF!</v>
      </c>
      <c r="D321" s="141">
        <v>321</v>
      </c>
    </row>
    <row r="322" spans="1:4" x14ac:dyDescent="0.25">
      <c r="A322" s="130" t="s">
        <v>300</v>
      </c>
      <c r="B322" s="130">
        <v>10</v>
      </c>
      <c r="C322" s="131" t="e">
        <f>INDEX(#REF!,MATCH(B322,#REF!,MATCH(A322,#REF!,0)))</f>
        <v>#REF!</v>
      </c>
      <c r="D322" s="141">
        <v>322</v>
      </c>
    </row>
    <row r="323" spans="1:4" x14ac:dyDescent="0.25">
      <c r="A323" s="130" t="s">
        <v>300</v>
      </c>
      <c r="B323" s="130">
        <v>11</v>
      </c>
      <c r="C323" s="131" t="e">
        <f>INDEX(#REF!,MATCH(B323,#REF!,MATCH(A323,#REF!,0)))</f>
        <v>#REF!</v>
      </c>
      <c r="D323" s="141">
        <v>323</v>
      </c>
    </row>
    <row r="324" spans="1:4" x14ac:dyDescent="0.25">
      <c r="A324" s="130" t="s">
        <v>300</v>
      </c>
      <c r="B324" s="130">
        <v>12</v>
      </c>
      <c r="C324" s="131" t="e">
        <f>INDEX(#REF!,MATCH(B324,#REF!,MATCH(A324,#REF!,0)))</f>
        <v>#REF!</v>
      </c>
      <c r="D324" s="141">
        <v>324</v>
      </c>
    </row>
    <row r="325" spans="1:4" x14ac:dyDescent="0.25">
      <c r="A325" s="130" t="s">
        <v>300</v>
      </c>
      <c r="B325" s="130">
        <v>13</v>
      </c>
      <c r="C325" s="131" t="e">
        <f>INDEX(#REF!,MATCH(B325,#REF!,MATCH(A325,#REF!,0)))</f>
        <v>#REF!</v>
      </c>
      <c r="D325" s="141">
        <v>325</v>
      </c>
    </row>
    <row r="326" spans="1:4" x14ac:dyDescent="0.25">
      <c r="A326" s="130" t="s">
        <v>300</v>
      </c>
      <c r="B326" s="130">
        <v>14</v>
      </c>
      <c r="C326" s="131" t="e">
        <f>INDEX(#REF!,MATCH(B326,#REF!,MATCH(A326,#REF!,0)))</f>
        <v>#REF!</v>
      </c>
      <c r="D326" s="141">
        <v>326</v>
      </c>
    </row>
    <row r="327" spans="1:4" x14ac:dyDescent="0.25">
      <c r="A327" s="130" t="s">
        <v>300</v>
      </c>
      <c r="B327" s="130">
        <v>15</v>
      </c>
      <c r="C327" s="131" t="e">
        <f>INDEX(#REF!,MATCH(B327,#REF!,MATCH(A327,#REF!,0)))</f>
        <v>#REF!</v>
      </c>
      <c r="D327" s="141">
        <v>327</v>
      </c>
    </row>
    <row r="328" spans="1:4" x14ac:dyDescent="0.25">
      <c r="A328" s="130" t="s">
        <v>300</v>
      </c>
      <c r="B328" s="130">
        <v>16</v>
      </c>
      <c r="C328" s="131" t="e">
        <f>INDEX(#REF!,MATCH(B328,#REF!,MATCH(A328,#REF!,0)))</f>
        <v>#REF!</v>
      </c>
      <c r="D328" s="141">
        <v>328</v>
      </c>
    </row>
    <row r="329" spans="1:4" x14ac:dyDescent="0.25">
      <c r="A329" s="130" t="s">
        <v>300</v>
      </c>
      <c r="B329" s="130">
        <v>17</v>
      </c>
      <c r="C329" s="131" t="e">
        <f>INDEX(#REF!,MATCH(B329,#REF!,MATCH(A329,#REF!,0)))</f>
        <v>#REF!</v>
      </c>
      <c r="D329" s="141">
        <v>329</v>
      </c>
    </row>
    <row r="330" spans="1:4" x14ac:dyDescent="0.25">
      <c r="A330" s="130" t="s">
        <v>300</v>
      </c>
      <c r="B330" s="130">
        <v>18</v>
      </c>
      <c r="C330" s="131" t="e">
        <f>INDEX(#REF!,MATCH(B330,#REF!,MATCH(A330,#REF!,0)))</f>
        <v>#REF!</v>
      </c>
      <c r="D330" s="141">
        <v>330</v>
      </c>
    </row>
    <row r="331" spans="1:4" x14ac:dyDescent="0.25">
      <c r="A331" s="130" t="s">
        <v>300</v>
      </c>
      <c r="B331" s="130">
        <v>19</v>
      </c>
      <c r="C331" s="131" t="e">
        <f>INDEX(#REF!,MATCH(B331,#REF!,MATCH(A331,#REF!,0)))</f>
        <v>#REF!</v>
      </c>
      <c r="D331" s="141">
        <v>331</v>
      </c>
    </row>
    <row r="332" spans="1:4" x14ac:dyDescent="0.25">
      <c r="A332" s="130" t="s">
        <v>300</v>
      </c>
      <c r="B332" s="130">
        <v>20</v>
      </c>
      <c r="C332" s="131" t="e">
        <f>INDEX(#REF!,MATCH(B332,#REF!,MATCH(A332,#REF!,0)))</f>
        <v>#REF!</v>
      </c>
      <c r="D332" s="141">
        <v>332</v>
      </c>
    </row>
    <row r="333" spans="1:4" x14ac:dyDescent="0.25">
      <c r="A333" s="130" t="s">
        <v>300</v>
      </c>
      <c r="B333" s="130">
        <v>21</v>
      </c>
      <c r="C333" s="131" t="e">
        <f>INDEX(#REF!,MATCH(B333,#REF!,MATCH(A333,#REF!,0)))</f>
        <v>#REF!</v>
      </c>
      <c r="D333" s="141">
        <v>333</v>
      </c>
    </row>
    <row r="334" spans="1:4" x14ac:dyDescent="0.25">
      <c r="A334" s="130" t="s">
        <v>300</v>
      </c>
      <c r="B334" s="130">
        <v>22</v>
      </c>
      <c r="C334" s="131" t="e">
        <f>INDEX(#REF!,MATCH(B334,#REF!,MATCH(A334,#REF!,0)))</f>
        <v>#REF!</v>
      </c>
      <c r="D334" s="141">
        <v>334</v>
      </c>
    </row>
    <row r="335" spans="1:4" x14ac:dyDescent="0.25">
      <c r="A335" s="130" t="s">
        <v>300</v>
      </c>
      <c r="B335" s="130">
        <v>23</v>
      </c>
      <c r="C335" s="131" t="e">
        <f>INDEX(#REF!,MATCH(B335,#REF!,MATCH(A335,#REF!,0)))</f>
        <v>#REF!</v>
      </c>
      <c r="D335" s="141">
        <v>335</v>
      </c>
    </row>
    <row r="336" spans="1:4" x14ac:dyDescent="0.25">
      <c r="A336" s="130" t="s">
        <v>300</v>
      </c>
      <c r="B336" s="130">
        <v>24</v>
      </c>
      <c r="C336" s="131" t="e">
        <f>INDEX(#REF!,MATCH(B336,#REF!,MATCH(A336,#REF!,0)))</f>
        <v>#REF!</v>
      </c>
      <c r="D336" s="141">
        <v>336</v>
      </c>
    </row>
    <row r="337" spans="1:4" x14ac:dyDescent="0.25">
      <c r="A337" s="130" t="s">
        <v>300</v>
      </c>
      <c r="B337" s="130">
        <v>25</v>
      </c>
      <c r="C337" s="131" t="e">
        <f>INDEX(#REF!,MATCH(B337,#REF!,MATCH(A337,#REF!,0)))</f>
        <v>#REF!</v>
      </c>
      <c r="D337" s="141">
        <v>337</v>
      </c>
    </row>
    <row r="338" spans="1:4" x14ac:dyDescent="0.25">
      <c r="A338" s="130" t="s">
        <v>300</v>
      </c>
      <c r="B338" s="130">
        <v>26</v>
      </c>
      <c r="C338" s="131" t="e">
        <f>INDEX(#REF!,MATCH(B338,#REF!,MATCH(A338,#REF!,0)))</f>
        <v>#REF!</v>
      </c>
      <c r="D338" s="141">
        <v>338</v>
      </c>
    </row>
    <row r="339" spans="1:4" x14ac:dyDescent="0.25">
      <c r="A339" s="130" t="s">
        <v>300</v>
      </c>
      <c r="B339" s="130">
        <v>27</v>
      </c>
      <c r="C339" s="131" t="e">
        <f>INDEX(#REF!,MATCH(B339,#REF!,MATCH(A339,#REF!,0)))</f>
        <v>#REF!</v>
      </c>
      <c r="D339" s="141">
        <v>339</v>
      </c>
    </row>
    <row r="340" spans="1:4" x14ac:dyDescent="0.25">
      <c r="A340" s="130" t="s">
        <v>300</v>
      </c>
      <c r="B340" s="130">
        <v>28</v>
      </c>
      <c r="C340" s="131" t="e">
        <f>INDEX(#REF!,MATCH(B340,#REF!,MATCH(A340,#REF!,0)))</f>
        <v>#REF!</v>
      </c>
      <c r="D340" s="141">
        <v>340</v>
      </c>
    </row>
    <row r="341" spans="1:4" x14ac:dyDescent="0.25">
      <c r="A341" s="130" t="s">
        <v>300</v>
      </c>
      <c r="B341" s="130">
        <v>29</v>
      </c>
      <c r="C341" s="131" t="e">
        <f>INDEX(#REF!,MATCH(B341,#REF!,MATCH(A341,#REF!,0)))</f>
        <v>#REF!</v>
      </c>
      <c r="D341" s="141">
        <v>341</v>
      </c>
    </row>
    <row r="342" spans="1:4" x14ac:dyDescent="0.25">
      <c r="A342" s="130" t="s">
        <v>300</v>
      </c>
      <c r="B342" s="130">
        <v>30</v>
      </c>
      <c r="C342" s="131" t="e">
        <f>INDEX(#REF!,MATCH(B342,#REF!,MATCH(A342,#REF!,0)))</f>
        <v>#REF!</v>
      </c>
      <c r="D342" s="141">
        <v>342</v>
      </c>
    </row>
    <row r="343" spans="1:4" x14ac:dyDescent="0.25">
      <c r="A343" s="130" t="s">
        <v>346</v>
      </c>
      <c r="B343" s="130">
        <v>0</v>
      </c>
      <c r="C343" s="131" t="e">
        <f>INDEX(#REF!,MATCH(B343,#REF!,MATCH(A343,#REF!,0)))</f>
        <v>#REF!</v>
      </c>
      <c r="D343" s="141">
        <v>343</v>
      </c>
    </row>
    <row r="344" spans="1:4" x14ac:dyDescent="0.25">
      <c r="A344" s="130" t="s">
        <v>346</v>
      </c>
      <c r="B344" s="130">
        <v>1</v>
      </c>
      <c r="C344" s="131" t="e">
        <f>INDEX(#REF!,MATCH(B344,#REF!,MATCH(A344,#REF!,0)))</f>
        <v>#REF!</v>
      </c>
      <c r="D344" s="141">
        <v>344</v>
      </c>
    </row>
    <row r="345" spans="1:4" x14ac:dyDescent="0.25">
      <c r="A345" s="130" t="s">
        <v>346</v>
      </c>
      <c r="B345" s="130">
        <v>2</v>
      </c>
      <c r="C345" s="131" t="e">
        <f>INDEX(#REF!,MATCH(B345,#REF!,MATCH(A345,#REF!,0)))</f>
        <v>#REF!</v>
      </c>
      <c r="D345" s="141">
        <v>345</v>
      </c>
    </row>
    <row r="346" spans="1:4" x14ac:dyDescent="0.25">
      <c r="A346" s="130" t="s">
        <v>346</v>
      </c>
      <c r="B346" s="130">
        <v>3</v>
      </c>
      <c r="C346" s="131" t="e">
        <f>INDEX(#REF!,MATCH(B346,#REF!,MATCH(A346,#REF!,0)))</f>
        <v>#REF!</v>
      </c>
      <c r="D346" s="141">
        <v>346</v>
      </c>
    </row>
    <row r="347" spans="1:4" x14ac:dyDescent="0.25">
      <c r="A347" s="130" t="s">
        <v>346</v>
      </c>
      <c r="B347" s="130">
        <v>4</v>
      </c>
      <c r="C347" s="131" t="e">
        <f>INDEX(#REF!,MATCH(B347,#REF!,MATCH(A347,#REF!,0)))</f>
        <v>#REF!</v>
      </c>
      <c r="D347" s="141">
        <v>347</v>
      </c>
    </row>
    <row r="348" spans="1:4" x14ac:dyDescent="0.25">
      <c r="A348" s="130" t="s">
        <v>346</v>
      </c>
      <c r="B348" s="130">
        <v>5</v>
      </c>
      <c r="C348" s="131" t="e">
        <f>INDEX(#REF!,MATCH(B348,#REF!,MATCH(A348,#REF!,0)))</f>
        <v>#REF!</v>
      </c>
      <c r="D348" s="141">
        <v>348</v>
      </c>
    </row>
    <row r="349" spans="1:4" x14ac:dyDescent="0.25">
      <c r="A349" s="130" t="s">
        <v>346</v>
      </c>
      <c r="B349" s="130">
        <v>6</v>
      </c>
      <c r="C349" s="131" t="e">
        <f>INDEX(#REF!,MATCH(B349,#REF!,MATCH(A349,#REF!,0)))</f>
        <v>#REF!</v>
      </c>
      <c r="D349" s="141">
        <v>349</v>
      </c>
    </row>
    <row r="350" spans="1:4" x14ac:dyDescent="0.25">
      <c r="A350" s="130" t="s">
        <v>346</v>
      </c>
      <c r="B350" s="130">
        <v>7</v>
      </c>
      <c r="C350" s="131" t="e">
        <f>INDEX(#REF!,MATCH(B350,#REF!,MATCH(A350,#REF!,0)))</f>
        <v>#REF!</v>
      </c>
      <c r="D350" s="141">
        <v>350</v>
      </c>
    </row>
    <row r="351" spans="1:4" x14ac:dyDescent="0.25">
      <c r="A351" s="130" t="s">
        <v>346</v>
      </c>
      <c r="B351" s="130">
        <v>8</v>
      </c>
      <c r="C351" s="131" t="e">
        <f>INDEX(#REF!,MATCH(B351,#REF!,MATCH(A351,#REF!,0)))</f>
        <v>#REF!</v>
      </c>
      <c r="D351" s="141">
        <v>351</v>
      </c>
    </row>
    <row r="352" spans="1:4" x14ac:dyDescent="0.25">
      <c r="A352" s="130" t="s">
        <v>346</v>
      </c>
      <c r="B352" s="130">
        <v>9</v>
      </c>
      <c r="C352" s="131" t="e">
        <f>INDEX(#REF!,MATCH(B352,#REF!,MATCH(A352,#REF!,0)))</f>
        <v>#REF!</v>
      </c>
      <c r="D352" s="141">
        <v>352</v>
      </c>
    </row>
    <row r="353" spans="1:4" x14ac:dyDescent="0.25">
      <c r="A353" s="130" t="s">
        <v>346</v>
      </c>
      <c r="B353" s="130">
        <v>10</v>
      </c>
      <c r="C353" s="131" t="e">
        <f>INDEX(#REF!,MATCH(B353,#REF!,MATCH(A353,#REF!,0)))</f>
        <v>#REF!</v>
      </c>
      <c r="D353" s="141">
        <v>353</v>
      </c>
    </row>
    <row r="354" spans="1:4" x14ac:dyDescent="0.25">
      <c r="A354" s="130" t="s">
        <v>346</v>
      </c>
      <c r="B354" s="130">
        <v>11</v>
      </c>
      <c r="C354" s="131" t="e">
        <f>INDEX(#REF!,MATCH(B354,#REF!,MATCH(A354,#REF!,0)))</f>
        <v>#REF!</v>
      </c>
      <c r="D354" s="141">
        <v>354</v>
      </c>
    </row>
    <row r="355" spans="1:4" x14ac:dyDescent="0.25">
      <c r="A355" s="130" t="s">
        <v>346</v>
      </c>
      <c r="B355" s="130">
        <v>12</v>
      </c>
      <c r="C355" s="131" t="e">
        <f>INDEX(#REF!,MATCH(B355,#REF!,MATCH(A355,#REF!,0)))</f>
        <v>#REF!</v>
      </c>
      <c r="D355" s="141">
        <v>355</v>
      </c>
    </row>
    <row r="356" spans="1:4" x14ac:dyDescent="0.25">
      <c r="A356" s="130" t="s">
        <v>346</v>
      </c>
      <c r="B356" s="130">
        <v>13</v>
      </c>
      <c r="C356" s="131" t="e">
        <f>INDEX(#REF!,MATCH(B356,#REF!,MATCH(A356,#REF!,0)))</f>
        <v>#REF!</v>
      </c>
      <c r="D356" s="141">
        <v>356</v>
      </c>
    </row>
    <row r="357" spans="1:4" x14ac:dyDescent="0.25">
      <c r="A357" s="130" t="s">
        <v>346</v>
      </c>
      <c r="B357" s="130">
        <v>14</v>
      </c>
      <c r="C357" s="131" t="e">
        <f>INDEX(#REF!,MATCH(B357,#REF!,MATCH(A357,#REF!,0)))</f>
        <v>#REF!</v>
      </c>
      <c r="D357" s="141">
        <v>357</v>
      </c>
    </row>
    <row r="358" spans="1:4" x14ac:dyDescent="0.25">
      <c r="A358" s="130" t="s">
        <v>346</v>
      </c>
      <c r="B358" s="130">
        <v>15</v>
      </c>
      <c r="C358" s="131" t="e">
        <f>INDEX(#REF!,MATCH(B358,#REF!,MATCH(A358,#REF!,0)))</f>
        <v>#REF!</v>
      </c>
      <c r="D358" s="141">
        <v>358</v>
      </c>
    </row>
    <row r="359" spans="1:4" x14ac:dyDescent="0.25">
      <c r="A359" s="130" t="s">
        <v>346</v>
      </c>
      <c r="B359" s="130">
        <v>16</v>
      </c>
      <c r="C359" s="131" t="e">
        <f>INDEX(#REF!,MATCH(B359,#REF!,MATCH(A359,#REF!,0)))</f>
        <v>#REF!</v>
      </c>
      <c r="D359" s="141">
        <v>359</v>
      </c>
    </row>
    <row r="360" spans="1:4" x14ac:dyDescent="0.25">
      <c r="A360" s="130" t="s">
        <v>346</v>
      </c>
      <c r="B360" s="130">
        <v>17</v>
      </c>
      <c r="C360" s="131" t="e">
        <f>INDEX(#REF!,MATCH(B360,#REF!,MATCH(A360,#REF!,0)))</f>
        <v>#REF!</v>
      </c>
      <c r="D360" s="141">
        <v>360</v>
      </c>
    </row>
    <row r="361" spans="1:4" x14ac:dyDescent="0.25">
      <c r="A361" s="130" t="s">
        <v>346</v>
      </c>
      <c r="B361" s="130">
        <v>18</v>
      </c>
      <c r="C361" s="131" t="e">
        <f>INDEX(#REF!,MATCH(B361,#REF!,MATCH(A361,#REF!,0)))</f>
        <v>#REF!</v>
      </c>
      <c r="D361" s="141">
        <v>361</v>
      </c>
    </row>
    <row r="362" spans="1:4" x14ac:dyDescent="0.25">
      <c r="A362" s="130" t="s">
        <v>346</v>
      </c>
      <c r="B362" s="130">
        <v>19</v>
      </c>
      <c r="C362" s="131" t="e">
        <f>INDEX(#REF!,MATCH(B362,#REF!,MATCH(A362,#REF!,0)))</f>
        <v>#REF!</v>
      </c>
      <c r="D362" s="141">
        <v>362</v>
      </c>
    </row>
    <row r="363" spans="1:4" x14ac:dyDescent="0.25">
      <c r="A363" s="130" t="s">
        <v>346</v>
      </c>
      <c r="B363" s="130">
        <v>20</v>
      </c>
      <c r="C363" s="131" t="e">
        <f>INDEX(#REF!,MATCH(B363,#REF!,MATCH(A363,#REF!,0)))</f>
        <v>#REF!</v>
      </c>
      <c r="D363" s="141">
        <v>363</v>
      </c>
    </row>
    <row r="364" spans="1:4" x14ac:dyDescent="0.25">
      <c r="A364" s="130" t="s">
        <v>346</v>
      </c>
      <c r="B364" s="130">
        <v>21</v>
      </c>
      <c r="C364" s="131" t="e">
        <f>INDEX(#REF!,MATCH(B364,#REF!,MATCH(A364,#REF!,0)))</f>
        <v>#REF!</v>
      </c>
      <c r="D364" s="141">
        <v>364</v>
      </c>
    </row>
    <row r="365" spans="1:4" x14ac:dyDescent="0.25">
      <c r="A365" s="130" t="s">
        <v>346</v>
      </c>
      <c r="B365" s="130">
        <v>22</v>
      </c>
      <c r="C365" s="131" t="e">
        <f>INDEX(#REF!,MATCH(B365,#REF!,MATCH(A365,#REF!,0)))</f>
        <v>#REF!</v>
      </c>
      <c r="D365" s="141">
        <v>365</v>
      </c>
    </row>
    <row r="366" spans="1:4" x14ac:dyDescent="0.25">
      <c r="A366" s="130" t="s">
        <v>346</v>
      </c>
      <c r="B366" s="130">
        <v>23</v>
      </c>
      <c r="C366" s="131" t="e">
        <f>INDEX(#REF!,MATCH(B366,#REF!,MATCH(A366,#REF!,0)))</f>
        <v>#REF!</v>
      </c>
      <c r="D366" s="141">
        <v>366</v>
      </c>
    </row>
    <row r="367" spans="1:4" x14ac:dyDescent="0.25">
      <c r="A367" s="130" t="s">
        <v>346</v>
      </c>
      <c r="B367" s="130">
        <v>24</v>
      </c>
      <c r="C367" s="131" t="e">
        <f>INDEX(#REF!,MATCH(B367,#REF!,MATCH(A367,#REF!,0)))</f>
        <v>#REF!</v>
      </c>
      <c r="D367" s="141">
        <v>367</v>
      </c>
    </row>
    <row r="368" spans="1:4" x14ac:dyDescent="0.25">
      <c r="A368" s="130" t="s">
        <v>346</v>
      </c>
      <c r="B368" s="130">
        <v>25</v>
      </c>
      <c r="C368" s="131" t="e">
        <f>INDEX(#REF!,MATCH(B368,#REF!,MATCH(A368,#REF!,0)))</f>
        <v>#REF!</v>
      </c>
      <c r="D368" s="141">
        <v>368</v>
      </c>
    </row>
    <row r="369" spans="1:4" x14ac:dyDescent="0.25">
      <c r="A369" s="130" t="s">
        <v>346</v>
      </c>
      <c r="B369" s="130">
        <v>26</v>
      </c>
      <c r="C369" s="131" t="e">
        <f>INDEX(#REF!,MATCH(B369,#REF!,MATCH(A369,#REF!,0)))</f>
        <v>#REF!</v>
      </c>
      <c r="D369" s="141">
        <v>369</v>
      </c>
    </row>
    <row r="370" spans="1:4" x14ac:dyDescent="0.25">
      <c r="A370" s="130" t="s">
        <v>346</v>
      </c>
      <c r="B370" s="130">
        <v>27</v>
      </c>
      <c r="C370" s="131" t="e">
        <f>INDEX(#REF!,MATCH(B370,#REF!,MATCH(A370,#REF!,0)))</f>
        <v>#REF!</v>
      </c>
      <c r="D370" s="141">
        <v>370</v>
      </c>
    </row>
    <row r="371" spans="1:4" x14ac:dyDescent="0.25">
      <c r="A371" s="130" t="s">
        <v>346</v>
      </c>
      <c r="B371" s="130">
        <v>28</v>
      </c>
      <c r="C371" s="131" t="e">
        <f>INDEX(#REF!,MATCH(B371,#REF!,MATCH(A371,#REF!,0)))</f>
        <v>#REF!</v>
      </c>
      <c r="D371" s="141">
        <v>371</v>
      </c>
    </row>
    <row r="372" spans="1:4" x14ac:dyDescent="0.25">
      <c r="A372" s="130" t="s">
        <v>346</v>
      </c>
      <c r="B372" s="130">
        <v>29</v>
      </c>
      <c r="C372" s="131" t="e">
        <f>INDEX(#REF!,MATCH(B372,#REF!,MATCH(A372,#REF!,0)))</f>
        <v>#REF!</v>
      </c>
      <c r="D372" s="141">
        <v>372</v>
      </c>
    </row>
    <row r="373" spans="1:4" x14ac:dyDescent="0.25">
      <c r="A373" s="130" t="s">
        <v>346</v>
      </c>
      <c r="B373" s="130">
        <v>30</v>
      </c>
      <c r="C373" s="131" t="e">
        <f>INDEX(#REF!,MATCH(B373,#REF!,MATCH(A373,#REF!,0)))</f>
        <v>#REF!</v>
      </c>
      <c r="D373" s="141">
        <v>373</v>
      </c>
    </row>
    <row r="374" spans="1:4" x14ac:dyDescent="0.25">
      <c r="A374" s="130" t="s">
        <v>301</v>
      </c>
      <c r="B374" s="130">
        <v>0</v>
      </c>
      <c r="C374" s="131" t="e">
        <f>INDEX(#REF!,MATCH(B374,#REF!,MATCH(A374,#REF!,0)))</f>
        <v>#REF!</v>
      </c>
      <c r="D374" s="141">
        <v>374</v>
      </c>
    </row>
    <row r="375" spans="1:4" x14ac:dyDescent="0.25">
      <c r="A375" s="130" t="s">
        <v>301</v>
      </c>
      <c r="B375" s="130">
        <v>1</v>
      </c>
      <c r="C375" s="131" t="e">
        <f>INDEX(#REF!,MATCH(B375,#REF!,MATCH(A375,#REF!,0)))</f>
        <v>#REF!</v>
      </c>
      <c r="D375" s="141">
        <v>375</v>
      </c>
    </row>
    <row r="376" spans="1:4" x14ac:dyDescent="0.25">
      <c r="A376" s="130" t="s">
        <v>301</v>
      </c>
      <c r="B376" s="130">
        <v>2</v>
      </c>
      <c r="C376" s="131" t="e">
        <f>INDEX(#REF!,MATCH(B376,#REF!,MATCH(A376,#REF!,0)))</f>
        <v>#REF!</v>
      </c>
      <c r="D376" s="141">
        <v>376</v>
      </c>
    </row>
    <row r="377" spans="1:4" x14ac:dyDescent="0.25">
      <c r="A377" s="130" t="s">
        <v>301</v>
      </c>
      <c r="B377" s="130">
        <v>3</v>
      </c>
      <c r="C377" s="131" t="e">
        <f>INDEX(#REF!,MATCH(B377,#REF!,MATCH(A377,#REF!,0)))</f>
        <v>#REF!</v>
      </c>
      <c r="D377" s="141">
        <v>377</v>
      </c>
    </row>
    <row r="378" spans="1:4" x14ac:dyDescent="0.25">
      <c r="A378" s="130" t="s">
        <v>301</v>
      </c>
      <c r="B378" s="130">
        <v>4</v>
      </c>
      <c r="C378" s="131" t="e">
        <f>INDEX(#REF!,MATCH(B378,#REF!,MATCH(A378,#REF!,0)))</f>
        <v>#REF!</v>
      </c>
      <c r="D378" s="141">
        <v>378</v>
      </c>
    </row>
    <row r="379" spans="1:4" x14ac:dyDescent="0.25">
      <c r="A379" s="130" t="s">
        <v>301</v>
      </c>
      <c r="B379" s="130">
        <v>5</v>
      </c>
      <c r="C379" s="131" t="e">
        <f>INDEX(#REF!,MATCH(B379,#REF!,MATCH(A379,#REF!,0)))</f>
        <v>#REF!</v>
      </c>
      <c r="D379" s="141">
        <v>379</v>
      </c>
    </row>
    <row r="380" spans="1:4" x14ac:dyDescent="0.25">
      <c r="A380" s="130" t="s">
        <v>301</v>
      </c>
      <c r="B380" s="130">
        <v>6</v>
      </c>
      <c r="C380" s="131" t="e">
        <f>INDEX(#REF!,MATCH(B380,#REF!,MATCH(A380,#REF!,0)))</f>
        <v>#REF!</v>
      </c>
      <c r="D380" s="141">
        <v>380</v>
      </c>
    </row>
    <row r="381" spans="1:4" x14ac:dyDescent="0.25">
      <c r="A381" s="130" t="s">
        <v>301</v>
      </c>
      <c r="B381" s="130">
        <v>7</v>
      </c>
      <c r="C381" s="131" t="e">
        <f>INDEX(#REF!,MATCH(B381,#REF!,MATCH(A381,#REF!,0)))</f>
        <v>#REF!</v>
      </c>
      <c r="D381" s="141">
        <v>381</v>
      </c>
    </row>
    <row r="382" spans="1:4" x14ac:dyDescent="0.25">
      <c r="A382" s="130" t="s">
        <v>301</v>
      </c>
      <c r="B382" s="130">
        <v>8</v>
      </c>
      <c r="C382" s="131" t="e">
        <f>INDEX(#REF!,MATCH(B382,#REF!,MATCH(A382,#REF!,0)))</f>
        <v>#REF!</v>
      </c>
      <c r="D382" s="141">
        <v>382</v>
      </c>
    </row>
    <row r="383" spans="1:4" x14ac:dyDescent="0.25">
      <c r="A383" s="130" t="s">
        <v>301</v>
      </c>
      <c r="B383" s="130">
        <v>9</v>
      </c>
      <c r="C383" s="131" t="e">
        <f>INDEX(#REF!,MATCH(B383,#REF!,MATCH(A383,#REF!,0)))</f>
        <v>#REF!</v>
      </c>
      <c r="D383" s="141">
        <v>383</v>
      </c>
    </row>
    <row r="384" spans="1:4" x14ac:dyDescent="0.25">
      <c r="A384" s="130" t="s">
        <v>301</v>
      </c>
      <c r="B384" s="130">
        <v>10</v>
      </c>
      <c r="C384" s="131" t="e">
        <f>INDEX(#REF!,MATCH(B384,#REF!,MATCH(A384,#REF!,0)))</f>
        <v>#REF!</v>
      </c>
      <c r="D384" s="141">
        <v>384</v>
      </c>
    </row>
    <row r="385" spans="1:4" x14ac:dyDescent="0.25">
      <c r="A385" s="130" t="s">
        <v>301</v>
      </c>
      <c r="B385" s="130">
        <v>11</v>
      </c>
      <c r="C385" s="131" t="e">
        <f>INDEX(#REF!,MATCH(B385,#REF!,MATCH(A385,#REF!,0)))</f>
        <v>#REF!</v>
      </c>
      <c r="D385" s="141">
        <v>385</v>
      </c>
    </row>
    <row r="386" spans="1:4" x14ac:dyDescent="0.25">
      <c r="A386" s="130" t="s">
        <v>301</v>
      </c>
      <c r="B386" s="130">
        <v>12</v>
      </c>
      <c r="C386" s="131" t="e">
        <f>INDEX(#REF!,MATCH(B386,#REF!,MATCH(A386,#REF!,0)))</f>
        <v>#REF!</v>
      </c>
      <c r="D386" s="141">
        <v>386</v>
      </c>
    </row>
    <row r="387" spans="1:4" x14ac:dyDescent="0.25">
      <c r="A387" s="130" t="s">
        <v>301</v>
      </c>
      <c r="B387" s="130">
        <v>13</v>
      </c>
      <c r="C387" s="131" t="e">
        <f>INDEX(#REF!,MATCH(B387,#REF!,MATCH(A387,#REF!,0)))</f>
        <v>#REF!</v>
      </c>
      <c r="D387" s="141">
        <v>387</v>
      </c>
    </row>
    <row r="388" spans="1:4" x14ac:dyDescent="0.25">
      <c r="A388" s="130" t="s">
        <v>301</v>
      </c>
      <c r="B388" s="130">
        <v>14</v>
      </c>
      <c r="C388" s="131" t="e">
        <f>INDEX(#REF!,MATCH(B388,#REF!,MATCH(A388,#REF!,0)))</f>
        <v>#REF!</v>
      </c>
      <c r="D388" s="141">
        <v>388</v>
      </c>
    </row>
    <row r="389" spans="1:4" x14ac:dyDescent="0.25">
      <c r="A389" s="130" t="s">
        <v>301</v>
      </c>
      <c r="B389" s="130">
        <v>15</v>
      </c>
      <c r="C389" s="131" t="e">
        <f>INDEX(#REF!,MATCH(B389,#REF!,MATCH(A389,#REF!,0)))</f>
        <v>#REF!</v>
      </c>
      <c r="D389" s="141">
        <v>389</v>
      </c>
    </row>
    <row r="390" spans="1:4" x14ac:dyDescent="0.25">
      <c r="A390" s="130" t="s">
        <v>301</v>
      </c>
      <c r="B390" s="130">
        <v>16</v>
      </c>
      <c r="C390" s="131" t="e">
        <f>INDEX(#REF!,MATCH(B390,#REF!,MATCH(A390,#REF!,0)))</f>
        <v>#REF!</v>
      </c>
      <c r="D390" s="141">
        <v>390</v>
      </c>
    </row>
    <row r="391" spans="1:4" x14ac:dyDescent="0.25">
      <c r="A391" s="130" t="s">
        <v>301</v>
      </c>
      <c r="B391" s="130">
        <v>17</v>
      </c>
      <c r="C391" s="131" t="e">
        <f>INDEX(#REF!,MATCH(B391,#REF!,MATCH(A391,#REF!,0)))</f>
        <v>#REF!</v>
      </c>
      <c r="D391" s="141">
        <v>391</v>
      </c>
    </row>
    <row r="392" spans="1:4" x14ac:dyDescent="0.25">
      <c r="A392" s="130" t="s">
        <v>301</v>
      </c>
      <c r="B392" s="130">
        <v>18</v>
      </c>
      <c r="C392" s="131" t="e">
        <f>INDEX(#REF!,MATCH(B392,#REF!,MATCH(A392,#REF!,0)))</f>
        <v>#REF!</v>
      </c>
      <c r="D392" s="141">
        <v>392</v>
      </c>
    </row>
    <row r="393" spans="1:4" x14ac:dyDescent="0.25">
      <c r="A393" s="130" t="s">
        <v>301</v>
      </c>
      <c r="B393" s="130">
        <v>19</v>
      </c>
      <c r="C393" s="131" t="e">
        <f>INDEX(#REF!,MATCH(B393,#REF!,MATCH(A393,#REF!,0)))</f>
        <v>#REF!</v>
      </c>
      <c r="D393" s="141">
        <v>393</v>
      </c>
    </row>
    <row r="394" spans="1:4" x14ac:dyDescent="0.25">
      <c r="A394" s="130" t="s">
        <v>301</v>
      </c>
      <c r="B394" s="130">
        <v>20</v>
      </c>
      <c r="C394" s="131" t="e">
        <f>INDEX(#REF!,MATCH(B394,#REF!,MATCH(A394,#REF!,0)))</f>
        <v>#REF!</v>
      </c>
      <c r="D394" s="141">
        <v>394</v>
      </c>
    </row>
    <row r="395" spans="1:4" x14ac:dyDescent="0.25">
      <c r="A395" s="130" t="s">
        <v>301</v>
      </c>
      <c r="B395" s="130">
        <v>21</v>
      </c>
      <c r="C395" s="131" t="e">
        <f>INDEX(#REF!,MATCH(B395,#REF!,MATCH(A395,#REF!,0)))</f>
        <v>#REF!</v>
      </c>
      <c r="D395" s="141">
        <v>395</v>
      </c>
    </row>
    <row r="396" spans="1:4" x14ac:dyDescent="0.25">
      <c r="A396" s="130" t="s">
        <v>301</v>
      </c>
      <c r="B396" s="130">
        <v>22</v>
      </c>
      <c r="C396" s="131" t="e">
        <f>INDEX(#REF!,MATCH(B396,#REF!,MATCH(A396,#REF!,0)))</f>
        <v>#REF!</v>
      </c>
      <c r="D396" s="141">
        <v>396</v>
      </c>
    </row>
    <row r="397" spans="1:4" x14ac:dyDescent="0.25">
      <c r="A397" s="130" t="s">
        <v>301</v>
      </c>
      <c r="B397" s="130">
        <v>23</v>
      </c>
      <c r="C397" s="131" t="e">
        <f>INDEX(#REF!,MATCH(B397,#REF!,MATCH(A397,#REF!,0)))</f>
        <v>#REF!</v>
      </c>
      <c r="D397" s="141">
        <v>397</v>
      </c>
    </row>
    <row r="398" spans="1:4" x14ac:dyDescent="0.25">
      <c r="A398" s="130" t="s">
        <v>301</v>
      </c>
      <c r="B398" s="130">
        <v>24</v>
      </c>
      <c r="C398" s="131" t="e">
        <f>INDEX(#REF!,MATCH(B398,#REF!,MATCH(A398,#REF!,0)))</f>
        <v>#REF!</v>
      </c>
      <c r="D398" s="141">
        <v>398</v>
      </c>
    </row>
    <row r="399" spans="1:4" x14ac:dyDescent="0.25">
      <c r="A399" s="130" t="s">
        <v>301</v>
      </c>
      <c r="B399" s="130">
        <v>25</v>
      </c>
      <c r="C399" s="131" t="e">
        <f>INDEX(#REF!,MATCH(B399,#REF!,MATCH(A399,#REF!,0)))</f>
        <v>#REF!</v>
      </c>
      <c r="D399" s="141">
        <v>399</v>
      </c>
    </row>
    <row r="400" spans="1:4" x14ac:dyDescent="0.25">
      <c r="A400" s="130" t="s">
        <v>301</v>
      </c>
      <c r="B400" s="130">
        <v>26</v>
      </c>
      <c r="C400" s="131" t="e">
        <f>INDEX(#REF!,MATCH(B400,#REF!,MATCH(A400,#REF!,0)))</f>
        <v>#REF!</v>
      </c>
      <c r="D400" s="141">
        <v>400</v>
      </c>
    </row>
    <row r="401" spans="1:4" x14ac:dyDescent="0.25">
      <c r="A401" s="130" t="s">
        <v>301</v>
      </c>
      <c r="B401" s="130">
        <v>27</v>
      </c>
      <c r="C401" s="131" t="e">
        <f>INDEX(#REF!,MATCH(B401,#REF!,MATCH(A401,#REF!,0)))</f>
        <v>#REF!</v>
      </c>
      <c r="D401" s="141">
        <v>401</v>
      </c>
    </row>
    <row r="402" spans="1:4" x14ac:dyDescent="0.25">
      <c r="A402" s="130" t="s">
        <v>301</v>
      </c>
      <c r="B402" s="130">
        <v>28</v>
      </c>
      <c r="C402" s="131" t="e">
        <f>INDEX(#REF!,MATCH(B402,#REF!,MATCH(A402,#REF!,0)))</f>
        <v>#REF!</v>
      </c>
      <c r="D402" s="141">
        <v>402</v>
      </c>
    </row>
    <row r="403" spans="1:4" x14ac:dyDescent="0.25">
      <c r="A403" s="130" t="s">
        <v>301</v>
      </c>
      <c r="B403" s="130">
        <v>29</v>
      </c>
      <c r="C403" s="131" t="e">
        <f>INDEX(#REF!,MATCH(B403,#REF!,MATCH(A403,#REF!,0)))</f>
        <v>#REF!</v>
      </c>
      <c r="D403" s="141">
        <v>403</v>
      </c>
    </row>
    <row r="404" spans="1:4" x14ac:dyDescent="0.25">
      <c r="A404" s="130" t="s">
        <v>301</v>
      </c>
      <c r="B404" s="130">
        <v>30</v>
      </c>
      <c r="C404" s="131" t="e">
        <f>INDEX(#REF!,MATCH(B404,#REF!,MATCH(A404,#REF!,0)))</f>
        <v>#REF!</v>
      </c>
      <c r="D404" s="141">
        <v>404</v>
      </c>
    </row>
    <row r="405" spans="1:4" x14ac:dyDescent="0.25">
      <c r="A405" s="130" t="s">
        <v>302</v>
      </c>
      <c r="B405" s="130">
        <v>0</v>
      </c>
      <c r="C405" s="131" t="e">
        <f>INDEX(#REF!,MATCH(B405,#REF!,MATCH(A405,#REF!,0)))</f>
        <v>#REF!</v>
      </c>
      <c r="D405" s="141">
        <v>405</v>
      </c>
    </row>
    <row r="406" spans="1:4" x14ac:dyDescent="0.25">
      <c r="A406" s="130" t="s">
        <v>302</v>
      </c>
      <c r="B406" s="130">
        <v>1</v>
      </c>
      <c r="C406" s="131" t="e">
        <f>INDEX(#REF!,MATCH(B406,#REF!,MATCH(A406,#REF!,0)))</f>
        <v>#REF!</v>
      </c>
      <c r="D406" s="141">
        <v>406</v>
      </c>
    </row>
    <row r="407" spans="1:4" x14ac:dyDescent="0.25">
      <c r="A407" s="130" t="s">
        <v>302</v>
      </c>
      <c r="B407" s="130">
        <v>2</v>
      </c>
      <c r="C407" s="131" t="e">
        <f>INDEX(#REF!,MATCH(B407,#REF!,MATCH(A407,#REF!,0)))</f>
        <v>#REF!</v>
      </c>
      <c r="D407" s="141">
        <v>407</v>
      </c>
    </row>
    <row r="408" spans="1:4" x14ac:dyDescent="0.25">
      <c r="A408" s="130" t="s">
        <v>302</v>
      </c>
      <c r="B408" s="130">
        <v>3</v>
      </c>
      <c r="C408" s="131" t="e">
        <f>INDEX(#REF!,MATCH(B408,#REF!,MATCH(A408,#REF!,0)))</f>
        <v>#REF!</v>
      </c>
      <c r="D408" s="141">
        <v>408</v>
      </c>
    </row>
    <row r="409" spans="1:4" x14ac:dyDescent="0.25">
      <c r="A409" s="130" t="s">
        <v>302</v>
      </c>
      <c r="B409" s="130">
        <v>4</v>
      </c>
      <c r="C409" s="131" t="e">
        <f>INDEX(#REF!,MATCH(B409,#REF!,MATCH(A409,#REF!,0)))</f>
        <v>#REF!</v>
      </c>
      <c r="D409" s="141">
        <v>409</v>
      </c>
    </row>
    <row r="410" spans="1:4" x14ac:dyDescent="0.25">
      <c r="A410" s="130" t="s">
        <v>302</v>
      </c>
      <c r="B410" s="130">
        <v>5</v>
      </c>
      <c r="C410" s="131" t="e">
        <f>INDEX(#REF!,MATCH(B410,#REF!,MATCH(A410,#REF!,0)))</f>
        <v>#REF!</v>
      </c>
      <c r="D410" s="141">
        <v>410</v>
      </c>
    </row>
    <row r="411" spans="1:4" x14ac:dyDescent="0.25">
      <c r="A411" s="130" t="s">
        <v>302</v>
      </c>
      <c r="B411" s="130">
        <v>6</v>
      </c>
      <c r="C411" s="131" t="e">
        <f>INDEX(#REF!,MATCH(B411,#REF!,MATCH(A411,#REF!,0)))</f>
        <v>#REF!</v>
      </c>
      <c r="D411" s="141">
        <v>411</v>
      </c>
    </row>
    <row r="412" spans="1:4" x14ac:dyDescent="0.25">
      <c r="A412" s="130" t="s">
        <v>302</v>
      </c>
      <c r="B412" s="130">
        <v>7</v>
      </c>
      <c r="C412" s="131" t="e">
        <f>INDEX(#REF!,MATCH(B412,#REF!,MATCH(A412,#REF!,0)))</f>
        <v>#REF!</v>
      </c>
      <c r="D412" s="141">
        <v>412</v>
      </c>
    </row>
    <row r="413" spans="1:4" x14ac:dyDescent="0.25">
      <c r="A413" s="130" t="s">
        <v>302</v>
      </c>
      <c r="B413" s="130">
        <v>8</v>
      </c>
      <c r="C413" s="131" t="e">
        <f>INDEX(#REF!,MATCH(B413,#REF!,MATCH(A413,#REF!,0)))</f>
        <v>#REF!</v>
      </c>
      <c r="D413" s="141">
        <v>413</v>
      </c>
    </row>
    <row r="414" spans="1:4" x14ac:dyDescent="0.25">
      <c r="A414" s="130" t="s">
        <v>302</v>
      </c>
      <c r="B414" s="130">
        <v>9</v>
      </c>
      <c r="C414" s="131" t="e">
        <f>INDEX(#REF!,MATCH(B414,#REF!,MATCH(A414,#REF!,0)))</f>
        <v>#REF!</v>
      </c>
      <c r="D414" s="141">
        <v>414</v>
      </c>
    </row>
    <row r="415" spans="1:4" x14ac:dyDescent="0.25">
      <c r="A415" s="130" t="s">
        <v>302</v>
      </c>
      <c r="B415" s="130">
        <v>10</v>
      </c>
      <c r="C415" s="131" t="e">
        <f>INDEX(#REF!,MATCH(B415,#REF!,MATCH(A415,#REF!,0)))</f>
        <v>#REF!</v>
      </c>
      <c r="D415" s="141">
        <v>415</v>
      </c>
    </row>
    <row r="416" spans="1:4" x14ac:dyDescent="0.25">
      <c r="A416" s="130" t="s">
        <v>302</v>
      </c>
      <c r="B416" s="130">
        <v>11</v>
      </c>
      <c r="C416" s="131" t="e">
        <f>INDEX(#REF!,MATCH(B416,#REF!,MATCH(A416,#REF!,0)))</f>
        <v>#REF!</v>
      </c>
      <c r="D416" s="141">
        <v>416</v>
      </c>
    </row>
    <row r="417" spans="1:4" x14ac:dyDescent="0.25">
      <c r="A417" s="130" t="s">
        <v>302</v>
      </c>
      <c r="B417" s="130">
        <v>12</v>
      </c>
      <c r="C417" s="131" t="e">
        <f>INDEX(#REF!,MATCH(B417,#REF!,MATCH(A417,#REF!,0)))</f>
        <v>#REF!</v>
      </c>
      <c r="D417" s="141">
        <v>417</v>
      </c>
    </row>
    <row r="418" spans="1:4" x14ac:dyDescent="0.25">
      <c r="A418" s="130" t="s">
        <v>302</v>
      </c>
      <c r="B418" s="130">
        <v>13</v>
      </c>
      <c r="C418" s="131" t="e">
        <f>INDEX(#REF!,MATCH(B418,#REF!,MATCH(A418,#REF!,0)))</f>
        <v>#REF!</v>
      </c>
      <c r="D418" s="141">
        <v>418</v>
      </c>
    </row>
    <row r="419" spans="1:4" x14ac:dyDescent="0.25">
      <c r="A419" s="130" t="s">
        <v>302</v>
      </c>
      <c r="B419" s="130">
        <v>14</v>
      </c>
      <c r="C419" s="131" t="e">
        <f>INDEX(#REF!,MATCH(B419,#REF!,MATCH(A419,#REF!,0)))</f>
        <v>#REF!</v>
      </c>
      <c r="D419" s="141">
        <v>419</v>
      </c>
    </row>
    <row r="420" spans="1:4" x14ac:dyDescent="0.25">
      <c r="A420" s="130" t="s">
        <v>302</v>
      </c>
      <c r="B420" s="130">
        <v>15</v>
      </c>
      <c r="C420" s="131" t="e">
        <f>INDEX(#REF!,MATCH(B420,#REF!,MATCH(A420,#REF!,0)))</f>
        <v>#REF!</v>
      </c>
      <c r="D420" s="141">
        <v>420</v>
      </c>
    </row>
    <row r="421" spans="1:4" x14ac:dyDescent="0.25">
      <c r="A421" s="130" t="s">
        <v>302</v>
      </c>
      <c r="B421" s="130">
        <v>16</v>
      </c>
      <c r="C421" s="131" t="e">
        <f>INDEX(#REF!,MATCH(B421,#REF!,MATCH(A421,#REF!,0)))</f>
        <v>#REF!</v>
      </c>
      <c r="D421" s="141">
        <v>421</v>
      </c>
    </row>
    <row r="422" spans="1:4" x14ac:dyDescent="0.25">
      <c r="A422" s="130" t="s">
        <v>302</v>
      </c>
      <c r="B422" s="130">
        <v>17</v>
      </c>
      <c r="C422" s="131" t="e">
        <f>INDEX(#REF!,MATCH(B422,#REF!,MATCH(A422,#REF!,0)))</f>
        <v>#REF!</v>
      </c>
      <c r="D422" s="141">
        <v>422</v>
      </c>
    </row>
    <row r="423" spans="1:4" x14ac:dyDescent="0.25">
      <c r="A423" s="130" t="s">
        <v>302</v>
      </c>
      <c r="B423" s="130">
        <v>18</v>
      </c>
      <c r="C423" s="131" t="e">
        <f>INDEX(#REF!,MATCH(B423,#REF!,MATCH(A423,#REF!,0)))</f>
        <v>#REF!</v>
      </c>
      <c r="D423" s="141">
        <v>423</v>
      </c>
    </row>
    <row r="424" spans="1:4" x14ac:dyDescent="0.25">
      <c r="A424" s="130" t="s">
        <v>302</v>
      </c>
      <c r="B424" s="130">
        <v>19</v>
      </c>
      <c r="C424" s="131" t="e">
        <f>INDEX(#REF!,MATCH(B424,#REF!,MATCH(A424,#REF!,0)))</f>
        <v>#REF!</v>
      </c>
      <c r="D424" s="141">
        <v>424</v>
      </c>
    </row>
    <row r="425" spans="1:4" x14ac:dyDescent="0.25">
      <c r="A425" s="130" t="s">
        <v>302</v>
      </c>
      <c r="B425" s="130">
        <v>20</v>
      </c>
      <c r="C425" s="131" t="e">
        <f>INDEX(#REF!,MATCH(B425,#REF!,MATCH(A425,#REF!,0)))</f>
        <v>#REF!</v>
      </c>
      <c r="D425" s="141">
        <v>425</v>
      </c>
    </row>
    <row r="426" spans="1:4" x14ac:dyDescent="0.25">
      <c r="A426" s="130" t="s">
        <v>302</v>
      </c>
      <c r="B426" s="130">
        <v>21</v>
      </c>
      <c r="C426" s="131" t="e">
        <f>INDEX(#REF!,MATCH(B426,#REF!,MATCH(A426,#REF!,0)))</f>
        <v>#REF!</v>
      </c>
      <c r="D426" s="141">
        <v>426</v>
      </c>
    </row>
    <row r="427" spans="1:4" x14ac:dyDescent="0.25">
      <c r="A427" s="130" t="s">
        <v>302</v>
      </c>
      <c r="B427" s="130">
        <v>22</v>
      </c>
      <c r="C427" s="131" t="e">
        <f>INDEX(#REF!,MATCH(B427,#REF!,MATCH(A427,#REF!,0)))</f>
        <v>#REF!</v>
      </c>
      <c r="D427" s="141">
        <v>427</v>
      </c>
    </row>
    <row r="428" spans="1:4" x14ac:dyDescent="0.25">
      <c r="A428" s="130" t="s">
        <v>302</v>
      </c>
      <c r="B428" s="130">
        <v>23</v>
      </c>
      <c r="C428" s="131" t="e">
        <f>INDEX(#REF!,MATCH(B428,#REF!,MATCH(A428,#REF!,0)))</f>
        <v>#REF!</v>
      </c>
      <c r="D428" s="141">
        <v>428</v>
      </c>
    </row>
    <row r="429" spans="1:4" x14ac:dyDescent="0.25">
      <c r="A429" s="130" t="s">
        <v>302</v>
      </c>
      <c r="B429" s="130">
        <v>24</v>
      </c>
      <c r="C429" s="131" t="e">
        <f>INDEX(#REF!,MATCH(B429,#REF!,MATCH(A429,#REF!,0)))</f>
        <v>#REF!</v>
      </c>
      <c r="D429" s="141">
        <v>429</v>
      </c>
    </row>
    <row r="430" spans="1:4" x14ac:dyDescent="0.25">
      <c r="A430" s="130" t="s">
        <v>302</v>
      </c>
      <c r="B430" s="130">
        <v>25</v>
      </c>
      <c r="C430" s="131" t="e">
        <f>INDEX(#REF!,MATCH(B430,#REF!,MATCH(A430,#REF!,0)))</f>
        <v>#REF!</v>
      </c>
      <c r="D430" s="141">
        <v>430</v>
      </c>
    </row>
    <row r="431" spans="1:4" x14ac:dyDescent="0.25">
      <c r="A431" s="130" t="s">
        <v>302</v>
      </c>
      <c r="B431" s="130">
        <v>26</v>
      </c>
      <c r="C431" s="131" t="e">
        <f>INDEX(#REF!,MATCH(B431,#REF!,MATCH(A431,#REF!,0)))</f>
        <v>#REF!</v>
      </c>
      <c r="D431" s="141">
        <v>431</v>
      </c>
    </row>
    <row r="432" spans="1:4" x14ac:dyDescent="0.25">
      <c r="A432" s="130" t="s">
        <v>302</v>
      </c>
      <c r="B432" s="130">
        <v>27</v>
      </c>
      <c r="C432" s="131" t="e">
        <f>INDEX(#REF!,MATCH(B432,#REF!,MATCH(A432,#REF!,0)))</f>
        <v>#REF!</v>
      </c>
      <c r="D432" s="141">
        <v>432</v>
      </c>
    </row>
    <row r="433" spans="1:4" x14ac:dyDescent="0.25">
      <c r="A433" s="130" t="s">
        <v>302</v>
      </c>
      <c r="B433" s="130">
        <v>28</v>
      </c>
      <c r="C433" s="131" t="e">
        <f>INDEX(#REF!,MATCH(B433,#REF!,MATCH(A433,#REF!,0)))</f>
        <v>#REF!</v>
      </c>
      <c r="D433" s="141">
        <v>433</v>
      </c>
    </row>
    <row r="434" spans="1:4" x14ac:dyDescent="0.25">
      <c r="A434" s="130" t="s">
        <v>302</v>
      </c>
      <c r="B434" s="130">
        <v>29</v>
      </c>
      <c r="C434" s="131" t="e">
        <f>INDEX(#REF!,MATCH(B434,#REF!,MATCH(A434,#REF!,0)))</f>
        <v>#REF!</v>
      </c>
      <c r="D434" s="141">
        <v>434</v>
      </c>
    </row>
    <row r="435" spans="1:4" x14ac:dyDescent="0.25">
      <c r="A435" s="130" t="s">
        <v>302</v>
      </c>
      <c r="B435" s="130">
        <v>30</v>
      </c>
      <c r="C435" s="131" t="e">
        <f>INDEX(#REF!,MATCH(B435,#REF!,MATCH(A435,#REF!,0)))</f>
        <v>#REF!</v>
      </c>
      <c r="D435" s="141">
        <v>435</v>
      </c>
    </row>
    <row r="436" spans="1:4" x14ac:dyDescent="0.25">
      <c r="A436" s="130" t="s">
        <v>303</v>
      </c>
      <c r="B436" s="130">
        <v>0</v>
      </c>
      <c r="C436" s="131" t="e">
        <f>INDEX(#REF!,MATCH(B436,#REF!,MATCH(A436,#REF!,0)))</f>
        <v>#REF!</v>
      </c>
      <c r="D436" s="141">
        <v>436</v>
      </c>
    </row>
    <row r="437" spans="1:4" x14ac:dyDescent="0.25">
      <c r="A437" s="130" t="s">
        <v>303</v>
      </c>
      <c r="B437" s="130">
        <v>1</v>
      </c>
      <c r="C437" s="131" t="e">
        <f>INDEX(#REF!,MATCH(B437,#REF!,MATCH(A437,#REF!,0)))</f>
        <v>#REF!</v>
      </c>
      <c r="D437" s="141">
        <v>437</v>
      </c>
    </row>
    <row r="438" spans="1:4" x14ac:dyDescent="0.25">
      <c r="A438" s="130" t="s">
        <v>303</v>
      </c>
      <c r="B438" s="130">
        <v>2</v>
      </c>
      <c r="C438" s="131" t="e">
        <f>INDEX(#REF!,MATCH(B438,#REF!,MATCH(A438,#REF!,0)))</f>
        <v>#REF!</v>
      </c>
      <c r="D438" s="141">
        <v>438</v>
      </c>
    </row>
    <row r="439" spans="1:4" x14ac:dyDescent="0.25">
      <c r="A439" s="130" t="s">
        <v>303</v>
      </c>
      <c r="B439" s="130">
        <v>3</v>
      </c>
      <c r="C439" s="131" t="e">
        <f>INDEX(#REF!,MATCH(B439,#REF!,MATCH(A439,#REF!,0)))</f>
        <v>#REF!</v>
      </c>
      <c r="D439" s="141">
        <v>439</v>
      </c>
    </row>
    <row r="440" spans="1:4" x14ac:dyDescent="0.25">
      <c r="A440" s="130" t="s">
        <v>303</v>
      </c>
      <c r="B440" s="130">
        <v>4</v>
      </c>
      <c r="C440" s="131" t="e">
        <f>INDEX(#REF!,MATCH(B440,#REF!,MATCH(A440,#REF!,0)))</f>
        <v>#REF!</v>
      </c>
      <c r="D440" s="141">
        <v>440</v>
      </c>
    </row>
    <row r="441" spans="1:4" x14ac:dyDescent="0.25">
      <c r="A441" s="130" t="s">
        <v>303</v>
      </c>
      <c r="B441" s="130">
        <v>5</v>
      </c>
      <c r="C441" s="131" t="e">
        <f>INDEX(#REF!,MATCH(B441,#REF!,MATCH(A441,#REF!,0)))</f>
        <v>#REF!</v>
      </c>
      <c r="D441" s="141">
        <v>441</v>
      </c>
    </row>
    <row r="442" spans="1:4" x14ac:dyDescent="0.25">
      <c r="A442" s="130" t="s">
        <v>303</v>
      </c>
      <c r="B442" s="130">
        <v>6</v>
      </c>
      <c r="C442" s="131" t="e">
        <f>INDEX(#REF!,MATCH(B442,#REF!,MATCH(A442,#REF!,0)))</f>
        <v>#REF!</v>
      </c>
      <c r="D442" s="141">
        <v>442</v>
      </c>
    </row>
    <row r="443" spans="1:4" x14ac:dyDescent="0.25">
      <c r="A443" s="130" t="s">
        <v>303</v>
      </c>
      <c r="B443" s="130">
        <v>7</v>
      </c>
      <c r="C443" s="131" t="e">
        <f>INDEX(#REF!,MATCH(B443,#REF!,MATCH(A443,#REF!,0)))</f>
        <v>#REF!</v>
      </c>
      <c r="D443" s="141">
        <v>443</v>
      </c>
    </row>
    <row r="444" spans="1:4" x14ac:dyDescent="0.25">
      <c r="A444" s="130" t="s">
        <v>303</v>
      </c>
      <c r="B444" s="130">
        <v>8</v>
      </c>
      <c r="C444" s="131" t="e">
        <f>INDEX(#REF!,MATCH(B444,#REF!,MATCH(A444,#REF!,0)))</f>
        <v>#REF!</v>
      </c>
      <c r="D444" s="141">
        <v>444</v>
      </c>
    </row>
    <row r="445" spans="1:4" x14ac:dyDescent="0.25">
      <c r="A445" s="130" t="s">
        <v>303</v>
      </c>
      <c r="B445" s="130">
        <v>9</v>
      </c>
      <c r="C445" s="131" t="e">
        <f>INDEX(#REF!,MATCH(B445,#REF!,MATCH(A445,#REF!,0)))</f>
        <v>#REF!</v>
      </c>
      <c r="D445" s="141">
        <v>445</v>
      </c>
    </row>
    <row r="446" spans="1:4" x14ac:dyDescent="0.25">
      <c r="A446" s="130" t="s">
        <v>303</v>
      </c>
      <c r="B446" s="130">
        <v>10</v>
      </c>
      <c r="C446" s="131" t="e">
        <f>INDEX(#REF!,MATCH(B446,#REF!,MATCH(A446,#REF!,0)))</f>
        <v>#REF!</v>
      </c>
      <c r="D446" s="141">
        <v>446</v>
      </c>
    </row>
    <row r="447" spans="1:4" x14ac:dyDescent="0.25">
      <c r="A447" s="130" t="s">
        <v>303</v>
      </c>
      <c r="B447" s="130">
        <v>11</v>
      </c>
      <c r="C447" s="131" t="e">
        <f>INDEX(#REF!,MATCH(B447,#REF!,MATCH(A447,#REF!,0)))</f>
        <v>#REF!</v>
      </c>
      <c r="D447" s="141">
        <v>447</v>
      </c>
    </row>
    <row r="448" spans="1:4" x14ac:dyDescent="0.25">
      <c r="A448" s="130" t="s">
        <v>303</v>
      </c>
      <c r="B448" s="130">
        <v>12</v>
      </c>
      <c r="C448" s="131" t="e">
        <f>INDEX(#REF!,MATCH(B448,#REF!,MATCH(A448,#REF!,0)))</f>
        <v>#REF!</v>
      </c>
      <c r="D448" s="141">
        <v>448</v>
      </c>
    </row>
    <row r="449" spans="1:4" x14ac:dyDescent="0.25">
      <c r="A449" s="130" t="s">
        <v>303</v>
      </c>
      <c r="B449" s="130">
        <v>13</v>
      </c>
      <c r="C449" s="131" t="e">
        <f>INDEX(#REF!,MATCH(B449,#REF!,MATCH(A449,#REF!,0)))</f>
        <v>#REF!</v>
      </c>
      <c r="D449" s="141">
        <v>449</v>
      </c>
    </row>
    <row r="450" spans="1:4" x14ac:dyDescent="0.25">
      <c r="A450" s="130" t="s">
        <v>303</v>
      </c>
      <c r="B450" s="130">
        <v>14</v>
      </c>
      <c r="C450" s="131" t="e">
        <f>INDEX(#REF!,MATCH(B450,#REF!,MATCH(A450,#REF!,0)))</f>
        <v>#REF!</v>
      </c>
      <c r="D450" s="141">
        <v>450</v>
      </c>
    </row>
    <row r="451" spans="1:4" x14ac:dyDescent="0.25">
      <c r="A451" s="130" t="s">
        <v>303</v>
      </c>
      <c r="B451" s="130">
        <v>15</v>
      </c>
      <c r="C451" s="131" t="e">
        <f>INDEX(#REF!,MATCH(B451,#REF!,MATCH(A451,#REF!,0)))</f>
        <v>#REF!</v>
      </c>
      <c r="D451" s="141">
        <v>451</v>
      </c>
    </row>
    <row r="452" spans="1:4" x14ac:dyDescent="0.25">
      <c r="A452" s="130" t="s">
        <v>303</v>
      </c>
      <c r="B452" s="130">
        <v>16</v>
      </c>
      <c r="C452" s="131" t="e">
        <f>INDEX(#REF!,MATCH(B452,#REF!,MATCH(A452,#REF!,0)))</f>
        <v>#REF!</v>
      </c>
      <c r="D452" s="141">
        <v>452</v>
      </c>
    </row>
    <row r="453" spans="1:4" x14ac:dyDescent="0.25">
      <c r="A453" s="130" t="s">
        <v>303</v>
      </c>
      <c r="B453" s="130">
        <v>17</v>
      </c>
      <c r="C453" s="131" t="e">
        <f>INDEX(#REF!,MATCH(B453,#REF!,MATCH(A453,#REF!,0)))</f>
        <v>#REF!</v>
      </c>
      <c r="D453" s="141">
        <v>453</v>
      </c>
    </row>
    <row r="454" spans="1:4" x14ac:dyDescent="0.25">
      <c r="A454" s="130" t="s">
        <v>303</v>
      </c>
      <c r="B454" s="130">
        <v>18</v>
      </c>
      <c r="C454" s="131" t="e">
        <f>INDEX(#REF!,MATCH(B454,#REF!,MATCH(A454,#REF!,0)))</f>
        <v>#REF!</v>
      </c>
      <c r="D454" s="141">
        <v>454</v>
      </c>
    </row>
    <row r="455" spans="1:4" x14ac:dyDescent="0.25">
      <c r="A455" s="130" t="s">
        <v>303</v>
      </c>
      <c r="B455" s="130">
        <v>19</v>
      </c>
      <c r="C455" s="131" t="e">
        <f>INDEX(#REF!,MATCH(B455,#REF!,MATCH(A455,#REF!,0)))</f>
        <v>#REF!</v>
      </c>
      <c r="D455" s="141">
        <v>455</v>
      </c>
    </row>
    <row r="456" spans="1:4" x14ac:dyDescent="0.25">
      <c r="A456" s="130" t="s">
        <v>303</v>
      </c>
      <c r="B456" s="130">
        <v>20</v>
      </c>
      <c r="C456" s="131" t="e">
        <f>INDEX(#REF!,MATCH(B456,#REF!,MATCH(A456,#REF!,0)))</f>
        <v>#REF!</v>
      </c>
      <c r="D456" s="141">
        <v>456</v>
      </c>
    </row>
    <row r="457" spans="1:4" x14ac:dyDescent="0.25">
      <c r="A457" s="130" t="s">
        <v>303</v>
      </c>
      <c r="B457" s="130">
        <v>21</v>
      </c>
      <c r="C457" s="131" t="e">
        <f>INDEX(#REF!,MATCH(B457,#REF!,MATCH(A457,#REF!,0)))</f>
        <v>#REF!</v>
      </c>
      <c r="D457" s="141">
        <v>457</v>
      </c>
    </row>
    <row r="458" spans="1:4" x14ac:dyDescent="0.25">
      <c r="A458" s="130" t="s">
        <v>303</v>
      </c>
      <c r="B458" s="130">
        <v>22</v>
      </c>
      <c r="C458" s="131" t="e">
        <f>INDEX(#REF!,MATCH(B458,#REF!,MATCH(A458,#REF!,0)))</f>
        <v>#REF!</v>
      </c>
      <c r="D458" s="141">
        <v>458</v>
      </c>
    </row>
    <row r="459" spans="1:4" x14ac:dyDescent="0.25">
      <c r="A459" s="130" t="s">
        <v>303</v>
      </c>
      <c r="B459" s="130">
        <v>23</v>
      </c>
      <c r="C459" s="131" t="e">
        <f>INDEX(#REF!,MATCH(B459,#REF!,MATCH(A459,#REF!,0)))</f>
        <v>#REF!</v>
      </c>
      <c r="D459" s="141">
        <v>459</v>
      </c>
    </row>
    <row r="460" spans="1:4" x14ac:dyDescent="0.25">
      <c r="A460" s="130" t="s">
        <v>303</v>
      </c>
      <c r="B460" s="130">
        <v>24</v>
      </c>
      <c r="C460" s="131" t="e">
        <f>INDEX(#REF!,MATCH(B460,#REF!,MATCH(A460,#REF!,0)))</f>
        <v>#REF!</v>
      </c>
      <c r="D460" s="141">
        <v>460</v>
      </c>
    </row>
    <row r="461" spans="1:4" x14ac:dyDescent="0.25">
      <c r="A461" s="130" t="s">
        <v>303</v>
      </c>
      <c r="B461" s="130">
        <v>25</v>
      </c>
      <c r="C461" s="131" t="e">
        <f>INDEX(#REF!,MATCH(B461,#REF!,MATCH(A461,#REF!,0)))</f>
        <v>#REF!</v>
      </c>
      <c r="D461" s="141">
        <v>461</v>
      </c>
    </row>
    <row r="462" spans="1:4" x14ac:dyDescent="0.25">
      <c r="A462" s="130" t="s">
        <v>303</v>
      </c>
      <c r="B462" s="130">
        <v>26</v>
      </c>
      <c r="C462" s="131" t="e">
        <f>INDEX(#REF!,MATCH(B462,#REF!,MATCH(A462,#REF!,0)))</f>
        <v>#REF!</v>
      </c>
      <c r="D462" s="141">
        <v>462</v>
      </c>
    </row>
    <row r="463" spans="1:4" x14ac:dyDescent="0.25">
      <c r="A463" s="130" t="s">
        <v>303</v>
      </c>
      <c r="B463" s="130">
        <v>27</v>
      </c>
      <c r="C463" s="131" t="e">
        <f>INDEX(#REF!,MATCH(B463,#REF!,MATCH(A463,#REF!,0)))</f>
        <v>#REF!</v>
      </c>
      <c r="D463" s="141">
        <v>463</v>
      </c>
    </row>
    <row r="464" spans="1:4" x14ac:dyDescent="0.25">
      <c r="A464" s="130" t="s">
        <v>303</v>
      </c>
      <c r="B464" s="130">
        <v>28</v>
      </c>
      <c r="C464" s="131" t="e">
        <f>INDEX(#REF!,MATCH(B464,#REF!,MATCH(A464,#REF!,0)))</f>
        <v>#REF!</v>
      </c>
      <c r="D464" s="141">
        <v>464</v>
      </c>
    </row>
    <row r="465" spans="1:4" x14ac:dyDescent="0.25">
      <c r="A465" s="130" t="s">
        <v>303</v>
      </c>
      <c r="B465" s="130">
        <v>29</v>
      </c>
      <c r="C465" s="131" t="e">
        <f>INDEX(#REF!,MATCH(B465,#REF!,MATCH(A465,#REF!,0)))</f>
        <v>#REF!</v>
      </c>
      <c r="D465" s="141">
        <v>465</v>
      </c>
    </row>
    <row r="466" spans="1:4" x14ac:dyDescent="0.25">
      <c r="A466" s="130" t="s">
        <v>303</v>
      </c>
      <c r="B466" s="130">
        <v>30</v>
      </c>
      <c r="C466" s="131" t="e">
        <f>INDEX(#REF!,MATCH(B466,#REF!,MATCH(A466,#REF!,0)))</f>
        <v>#REF!</v>
      </c>
      <c r="D466" s="141">
        <v>466</v>
      </c>
    </row>
    <row r="467" spans="1:4" x14ac:dyDescent="0.25">
      <c r="A467" s="130" t="s">
        <v>304</v>
      </c>
      <c r="B467" s="130">
        <v>0</v>
      </c>
      <c r="C467" s="131" t="e">
        <f>INDEX(#REF!,MATCH(B467,#REF!,MATCH(A467,#REF!,0)))</f>
        <v>#REF!</v>
      </c>
      <c r="D467" s="141">
        <v>467</v>
      </c>
    </row>
    <row r="468" spans="1:4" x14ac:dyDescent="0.25">
      <c r="A468" s="130" t="s">
        <v>304</v>
      </c>
      <c r="B468" s="130">
        <v>1</v>
      </c>
      <c r="C468" s="131" t="e">
        <f>INDEX(#REF!,MATCH(B468,#REF!,MATCH(A468,#REF!,0)))</f>
        <v>#REF!</v>
      </c>
      <c r="D468" s="141">
        <v>468</v>
      </c>
    </row>
    <row r="469" spans="1:4" x14ac:dyDescent="0.25">
      <c r="A469" s="130" t="s">
        <v>304</v>
      </c>
      <c r="B469" s="130">
        <v>2</v>
      </c>
      <c r="C469" s="131" t="e">
        <f>INDEX(#REF!,MATCH(B469,#REF!,MATCH(A469,#REF!,0)))</f>
        <v>#REF!</v>
      </c>
      <c r="D469" s="141">
        <v>469</v>
      </c>
    </row>
    <row r="470" spans="1:4" x14ac:dyDescent="0.25">
      <c r="A470" s="130" t="s">
        <v>304</v>
      </c>
      <c r="B470" s="130">
        <v>3</v>
      </c>
      <c r="C470" s="131" t="e">
        <f>INDEX(#REF!,MATCH(B470,#REF!,MATCH(A470,#REF!,0)))</f>
        <v>#REF!</v>
      </c>
      <c r="D470" s="141">
        <v>470</v>
      </c>
    </row>
    <row r="471" spans="1:4" x14ac:dyDescent="0.25">
      <c r="A471" s="130" t="s">
        <v>304</v>
      </c>
      <c r="B471" s="130">
        <v>4</v>
      </c>
      <c r="C471" s="131" t="e">
        <f>INDEX(#REF!,MATCH(B471,#REF!,MATCH(A471,#REF!,0)))</f>
        <v>#REF!</v>
      </c>
      <c r="D471" s="141">
        <v>471</v>
      </c>
    </row>
    <row r="472" spans="1:4" x14ac:dyDescent="0.25">
      <c r="A472" s="130" t="s">
        <v>304</v>
      </c>
      <c r="B472" s="130">
        <v>5</v>
      </c>
      <c r="C472" s="131" t="e">
        <f>INDEX(#REF!,MATCH(B472,#REF!,MATCH(A472,#REF!,0)))</f>
        <v>#REF!</v>
      </c>
      <c r="D472" s="141">
        <v>472</v>
      </c>
    </row>
    <row r="473" spans="1:4" x14ac:dyDescent="0.25">
      <c r="A473" s="130" t="s">
        <v>304</v>
      </c>
      <c r="B473" s="130">
        <v>6</v>
      </c>
      <c r="C473" s="131" t="e">
        <f>INDEX(#REF!,MATCH(B473,#REF!,MATCH(A473,#REF!,0)))</f>
        <v>#REF!</v>
      </c>
      <c r="D473" s="141">
        <v>473</v>
      </c>
    </row>
    <row r="474" spans="1:4" x14ac:dyDescent="0.25">
      <c r="A474" s="130" t="s">
        <v>304</v>
      </c>
      <c r="B474" s="130">
        <v>7</v>
      </c>
      <c r="C474" s="131" t="e">
        <f>INDEX(#REF!,MATCH(B474,#REF!,MATCH(A474,#REF!,0)))</f>
        <v>#REF!</v>
      </c>
      <c r="D474" s="141">
        <v>474</v>
      </c>
    </row>
    <row r="475" spans="1:4" x14ac:dyDescent="0.25">
      <c r="A475" s="130" t="s">
        <v>304</v>
      </c>
      <c r="B475" s="130">
        <v>8</v>
      </c>
      <c r="C475" s="131" t="e">
        <f>INDEX(#REF!,MATCH(B475,#REF!,MATCH(A475,#REF!,0)))</f>
        <v>#REF!</v>
      </c>
      <c r="D475" s="141">
        <v>475</v>
      </c>
    </row>
    <row r="476" spans="1:4" x14ac:dyDescent="0.25">
      <c r="A476" s="130" t="s">
        <v>304</v>
      </c>
      <c r="B476" s="130">
        <v>9</v>
      </c>
      <c r="C476" s="131" t="e">
        <f>INDEX(#REF!,MATCH(B476,#REF!,MATCH(A476,#REF!,0)))</f>
        <v>#REF!</v>
      </c>
      <c r="D476" s="141">
        <v>476</v>
      </c>
    </row>
    <row r="477" spans="1:4" x14ac:dyDescent="0.25">
      <c r="A477" s="130" t="s">
        <v>304</v>
      </c>
      <c r="B477" s="130">
        <v>10</v>
      </c>
      <c r="C477" s="131" t="e">
        <f>INDEX(#REF!,MATCH(B477,#REF!,MATCH(A477,#REF!,0)))</f>
        <v>#REF!</v>
      </c>
      <c r="D477" s="141">
        <v>477</v>
      </c>
    </row>
    <row r="478" spans="1:4" x14ac:dyDescent="0.25">
      <c r="A478" s="130" t="s">
        <v>304</v>
      </c>
      <c r="B478" s="130">
        <v>11</v>
      </c>
      <c r="C478" s="131" t="e">
        <f>INDEX(#REF!,MATCH(B478,#REF!,MATCH(A478,#REF!,0)))</f>
        <v>#REF!</v>
      </c>
      <c r="D478" s="141">
        <v>478</v>
      </c>
    </row>
    <row r="479" spans="1:4" x14ac:dyDescent="0.25">
      <c r="A479" s="130" t="s">
        <v>304</v>
      </c>
      <c r="B479" s="130">
        <v>12</v>
      </c>
      <c r="C479" s="131" t="e">
        <f>INDEX(#REF!,MATCH(B479,#REF!,MATCH(A479,#REF!,0)))</f>
        <v>#REF!</v>
      </c>
      <c r="D479" s="141">
        <v>479</v>
      </c>
    </row>
    <row r="480" spans="1:4" x14ac:dyDescent="0.25">
      <c r="A480" s="130" t="s">
        <v>304</v>
      </c>
      <c r="B480" s="130">
        <v>13</v>
      </c>
      <c r="C480" s="131" t="e">
        <f>INDEX(#REF!,MATCH(B480,#REF!,MATCH(A480,#REF!,0)))</f>
        <v>#REF!</v>
      </c>
      <c r="D480" s="141">
        <v>480</v>
      </c>
    </row>
    <row r="481" spans="1:4" x14ac:dyDescent="0.25">
      <c r="A481" s="130" t="s">
        <v>304</v>
      </c>
      <c r="B481" s="130">
        <v>14</v>
      </c>
      <c r="C481" s="131" t="e">
        <f>INDEX(#REF!,MATCH(B481,#REF!,MATCH(A481,#REF!,0)))</f>
        <v>#REF!</v>
      </c>
      <c r="D481" s="141">
        <v>481</v>
      </c>
    </row>
    <row r="482" spans="1:4" x14ac:dyDescent="0.25">
      <c r="A482" s="130" t="s">
        <v>304</v>
      </c>
      <c r="B482" s="130">
        <v>15</v>
      </c>
      <c r="C482" s="131" t="e">
        <f>INDEX(#REF!,MATCH(B482,#REF!,MATCH(A482,#REF!,0)))</f>
        <v>#REF!</v>
      </c>
      <c r="D482" s="141">
        <v>482</v>
      </c>
    </row>
    <row r="483" spans="1:4" x14ac:dyDescent="0.25">
      <c r="A483" s="130" t="s">
        <v>304</v>
      </c>
      <c r="B483" s="130">
        <v>16</v>
      </c>
      <c r="C483" s="131" t="e">
        <f>INDEX(#REF!,MATCH(B483,#REF!,MATCH(A483,#REF!,0)))</f>
        <v>#REF!</v>
      </c>
      <c r="D483" s="141">
        <v>483</v>
      </c>
    </row>
    <row r="484" spans="1:4" x14ac:dyDescent="0.25">
      <c r="A484" s="130" t="s">
        <v>304</v>
      </c>
      <c r="B484" s="130">
        <v>17</v>
      </c>
      <c r="C484" s="131" t="e">
        <f>INDEX(#REF!,MATCH(B484,#REF!,MATCH(A484,#REF!,0)))</f>
        <v>#REF!</v>
      </c>
      <c r="D484" s="141">
        <v>484</v>
      </c>
    </row>
    <row r="485" spans="1:4" x14ac:dyDescent="0.25">
      <c r="A485" s="130" t="s">
        <v>304</v>
      </c>
      <c r="B485" s="130">
        <v>18</v>
      </c>
      <c r="C485" s="131" t="e">
        <f>INDEX(#REF!,MATCH(B485,#REF!,MATCH(A485,#REF!,0)))</f>
        <v>#REF!</v>
      </c>
      <c r="D485" s="141">
        <v>485</v>
      </c>
    </row>
    <row r="486" spans="1:4" x14ac:dyDescent="0.25">
      <c r="A486" s="130" t="s">
        <v>304</v>
      </c>
      <c r="B486" s="130">
        <v>19</v>
      </c>
      <c r="C486" s="131" t="e">
        <f>INDEX(#REF!,MATCH(B486,#REF!,MATCH(A486,#REF!,0)))</f>
        <v>#REF!</v>
      </c>
      <c r="D486" s="141">
        <v>486</v>
      </c>
    </row>
    <row r="487" spans="1:4" x14ac:dyDescent="0.25">
      <c r="A487" s="130" t="s">
        <v>304</v>
      </c>
      <c r="B487" s="130">
        <v>20</v>
      </c>
      <c r="C487" s="131" t="e">
        <f>INDEX(#REF!,MATCH(B487,#REF!,MATCH(A487,#REF!,0)))</f>
        <v>#REF!</v>
      </c>
      <c r="D487" s="141">
        <v>487</v>
      </c>
    </row>
    <row r="488" spans="1:4" x14ac:dyDescent="0.25">
      <c r="A488" s="130" t="s">
        <v>304</v>
      </c>
      <c r="B488" s="130">
        <v>21</v>
      </c>
      <c r="C488" s="131" t="e">
        <f>INDEX(#REF!,MATCH(B488,#REF!,MATCH(A488,#REF!,0)))</f>
        <v>#REF!</v>
      </c>
      <c r="D488" s="141">
        <v>488</v>
      </c>
    </row>
    <row r="489" spans="1:4" x14ac:dyDescent="0.25">
      <c r="A489" s="130" t="s">
        <v>304</v>
      </c>
      <c r="B489" s="130">
        <v>22</v>
      </c>
      <c r="C489" s="131" t="e">
        <f>INDEX(#REF!,MATCH(B489,#REF!,MATCH(A489,#REF!,0)))</f>
        <v>#REF!</v>
      </c>
      <c r="D489" s="141">
        <v>489</v>
      </c>
    </row>
    <row r="490" spans="1:4" x14ac:dyDescent="0.25">
      <c r="A490" s="130" t="s">
        <v>304</v>
      </c>
      <c r="B490" s="130">
        <v>23</v>
      </c>
      <c r="C490" s="131" t="e">
        <f>INDEX(#REF!,MATCH(B490,#REF!,MATCH(A490,#REF!,0)))</f>
        <v>#REF!</v>
      </c>
      <c r="D490" s="141">
        <v>490</v>
      </c>
    </row>
    <row r="491" spans="1:4" x14ac:dyDescent="0.25">
      <c r="A491" s="130" t="s">
        <v>304</v>
      </c>
      <c r="B491" s="130">
        <v>24</v>
      </c>
      <c r="C491" s="131" t="e">
        <f>INDEX(#REF!,MATCH(B491,#REF!,MATCH(A491,#REF!,0)))</f>
        <v>#REF!</v>
      </c>
      <c r="D491" s="141">
        <v>491</v>
      </c>
    </row>
    <row r="492" spans="1:4" x14ac:dyDescent="0.25">
      <c r="A492" s="130" t="s">
        <v>304</v>
      </c>
      <c r="B492" s="130">
        <v>25</v>
      </c>
      <c r="C492" s="131" t="e">
        <f>INDEX(#REF!,MATCH(B492,#REF!,MATCH(A492,#REF!,0)))</f>
        <v>#REF!</v>
      </c>
      <c r="D492" s="141">
        <v>492</v>
      </c>
    </row>
    <row r="493" spans="1:4" x14ac:dyDescent="0.25">
      <c r="A493" s="130" t="s">
        <v>304</v>
      </c>
      <c r="B493" s="130">
        <v>26</v>
      </c>
      <c r="C493" s="131" t="e">
        <f>INDEX(#REF!,MATCH(B493,#REF!,MATCH(A493,#REF!,0)))</f>
        <v>#REF!</v>
      </c>
      <c r="D493" s="141">
        <v>493</v>
      </c>
    </row>
    <row r="494" spans="1:4" x14ac:dyDescent="0.25">
      <c r="A494" s="130" t="s">
        <v>304</v>
      </c>
      <c r="B494" s="130">
        <v>27</v>
      </c>
      <c r="C494" s="131" t="e">
        <f>INDEX(#REF!,MATCH(B494,#REF!,MATCH(A494,#REF!,0)))</f>
        <v>#REF!</v>
      </c>
      <c r="D494" s="141">
        <v>494</v>
      </c>
    </row>
    <row r="495" spans="1:4" x14ac:dyDescent="0.25">
      <c r="A495" s="130" t="s">
        <v>304</v>
      </c>
      <c r="B495" s="130">
        <v>28</v>
      </c>
      <c r="C495" s="131" t="e">
        <f>INDEX(#REF!,MATCH(B495,#REF!,MATCH(A495,#REF!,0)))</f>
        <v>#REF!</v>
      </c>
      <c r="D495" s="141">
        <v>495</v>
      </c>
    </row>
    <row r="496" spans="1:4" x14ac:dyDescent="0.25">
      <c r="A496" s="130" t="s">
        <v>304</v>
      </c>
      <c r="B496" s="130">
        <v>29</v>
      </c>
      <c r="C496" s="131" t="e">
        <f>INDEX(#REF!,MATCH(B496,#REF!,MATCH(A496,#REF!,0)))</f>
        <v>#REF!</v>
      </c>
      <c r="D496" s="141">
        <v>496</v>
      </c>
    </row>
    <row r="497" spans="1:4" x14ac:dyDescent="0.25">
      <c r="A497" s="130" t="s">
        <v>304</v>
      </c>
      <c r="B497" s="130">
        <v>30</v>
      </c>
      <c r="C497" s="131" t="e">
        <f>INDEX(#REF!,MATCH(B497,#REF!,MATCH(A497,#REF!,0)))</f>
        <v>#REF!</v>
      </c>
      <c r="D497" s="141">
        <v>497</v>
      </c>
    </row>
    <row r="498" spans="1:4" x14ac:dyDescent="0.25">
      <c r="A498" s="130" t="s">
        <v>305</v>
      </c>
      <c r="B498" s="130">
        <v>0</v>
      </c>
      <c r="C498" s="131" t="e">
        <f>INDEX(#REF!,MATCH(B498,#REF!,MATCH(A498,#REF!,0)))</f>
        <v>#REF!</v>
      </c>
      <c r="D498" s="141">
        <v>498</v>
      </c>
    </row>
    <row r="499" spans="1:4" x14ac:dyDescent="0.25">
      <c r="A499" s="130" t="s">
        <v>305</v>
      </c>
      <c r="B499" s="130">
        <v>1</v>
      </c>
      <c r="C499" s="131" t="e">
        <f>INDEX(#REF!,MATCH(B499,#REF!,MATCH(A499,#REF!,0)))</f>
        <v>#REF!</v>
      </c>
      <c r="D499" s="141">
        <v>499</v>
      </c>
    </row>
    <row r="500" spans="1:4" x14ac:dyDescent="0.25">
      <c r="A500" s="130" t="s">
        <v>305</v>
      </c>
      <c r="B500" s="130">
        <v>2</v>
      </c>
      <c r="C500" s="131" t="e">
        <f>INDEX(#REF!,MATCH(B500,#REF!,MATCH(A500,#REF!,0)))</f>
        <v>#REF!</v>
      </c>
      <c r="D500" s="141">
        <v>500</v>
      </c>
    </row>
    <row r="501" spans="1:4" x14ac:dyDescent="0.25">
      <c r="A501" s="130" t="s">
        <v>305</v>
      </c>
      <c r="B501" s="130">
        <v>3</v>
      </c>
      <c r="C501" s="131" t="e">
        <f>INDEX(#REF!,MATCH(B501,#REF!,MATCH(A501,#REF!,0)))</f>
        <v>#REF!</v>
      </c>
      <c r="D501" s="141">
        <v>501</v>
      </c>
    </row>
    <row r="502" spans="1:4" x14ac:dyDescent="0.25">
      <c r="A502" s="130" t="s">
        <v>305</v>
      </c>
      <c r="B502" s="130">
        <v>4</v>
      </c>
      <c r="C502" s="131" t="e">
        <f>INDEX(#REF!,MATCH(B502,#REF!,MATCH(A502,#REF!,0)))</f>
        <v>#REF!</v>
      </c>
      <c r="D502" s="141">
        <v>502</v>
      </c>
    </row>
    <row r="503" spans="1:4" x14ac:dyDescent="0.25">
      <c r="A503" s="130" t="s">
        <v>305</v>
      </c>
      <c r="B503" s="130">
        <v>5</v>
      </c>
      <c r="C503" s="131" t="e">
        <f>INDEX(#REF!,MATCH(B503,#REF!,MATCH(A503,#REF!,0)))</f>
        <v>#REF!</v>
      </c>
      <c r="D503" s="141">
        <v>503</v>
      </c>
    </row>
    <row r="504" spans="1:4" x14ac:dyDescent="0.25">
      <c r="A504" s="130" t="s">
        <v>305</v>
      </c>
      <c r="B504" s="130">
        <v>6</v>
      </c>
      <c r="C504" s="131" t="e">
        <f>INDEX(#REF!,MATCH(B504,#REF!,MATCH(A504,#REF!,0)))</f>
        <v>#REF!</v>
      </c>
      <c r="D504" s="141">
        <v>504</v>
      </c>
    </row>
    <row r="505" spans="1:4" x14ac:dyDescent="0.25">
      <c r="A505" s="130" t="s">
        <v>305</v>
      </c>
      <c r="B505" s="130">
        <v>7</v>
      </c>
      <c r="C505" s="131" t="e">
        <f>INDEX(#REF!,MATCH(B505,#REF!,MATCH(A505,#REF!,0)))</f>
        <v>#REF!</v>
      </c>
      <c r="D505" s="141">
        <v>505</v>
      </c>
    </row>
    <row r="506" spans="1:4" x14ac:dyDescent="0.25">
      <c r="A506" s="130" t="s">
        <v>305</v>
      </c>
      <c r="B506" s="130">
        <v>8</v>
      </c>
      <c r="C506" s="131" t="e">
        <f>INDEX(#REF!,MATCH(B506,#REF!,MATCH(A506,#REF!,0)))</f>
        <v>#REF!</v>
      </c>
      <c r="D506" s="141">
        <v>506</v>
      </c>
    </row>
    <row r="507" spans="1:4" x14ac:dyDescent="0.25">
      <c r="A507" s="130" t="s">
        <v>305</v>
      </c>
      <c r="B507" s="130">
        <v>9</v>
      </c>
      <c r="C507" s="131" t="e">
        <f>INDEX(#REF!,MATCH(B507,#REF!,MATCH(A507,#REF!,0)))</f>
        <v>#REF!</v>
      </c>
      <c r="D507" s="141">
        <v>507</v>
      </c>
    </row>
    <row r="508" spans="1:4" x14ac:dyDescent="0.25">
      <c r="A508" s="130" t="s">
        <v>305</v>
      </c>
      <c r="B508" s="130">
        <v>10</v>
      </c>
      <c r="C508" s="131" t="e">
        <f>INDEX(#REF!,MATCH(B508,#REF!,MATCH(A508,#REF!,0)))</f>
        <v>#REF!</v>
      </c>
      <c r="D508" s="141">
        <v>508</v>
      </c>
    </row>
    <row r="509" spans="1:4" x14ac:dyDescent="0.25">
      <c r="A509" s="130" t="s">
        <v>305</v>
      </c>
      <c r="B509" s="130">
        <v>11</v>
      </c>
      <c r="C509" s="131" t="e">
        <f>INDEX(#REF!,MATCH(B509,#REF!,MATCH(A509,#REF!,0)))</f>
        <v>#REF!</v>
      </c>
      <c r="D509" s="141">
        <v>509</v>
      </c>
    </row>
    <row r="510" spans="1:4" x14ac:dyDescent="0.25">
      <c r="A510" s="130" t="s">
        <v>305</v>
      </c>
      <c r="B510" s="130">
        <v>12</v>
      </c>
      <c r="C510" s="131" t="e">
        <f>INDEX(#REF!,MATCH(B510,#REF!,MATCH(A510,#REF!,0)))</f>
        <v>#REF!</v>
      </c>
      <c r="D510" s="141">
        <v>510</v>
      </c>
    </row>
    <row r="511" spans="1:4" x14ac:dyDescent="0.25">
      <c r="A511" s="130" t="s">
        <v>305</v>
      </c>
      <c r="B511" s="130">
        <v>13</v>
      </c>
      <c r="C511" s="131" t="e">
        <f>INDEX(#REF!,MATCH(B511,#REF!,MATCH(A511,#REF!,0)))</f>
        <v>#REF!</v>
      </c>
      <c r="D511" s="141">
        <v>511</v>
      </c>
    </row>
    <row r="512" spans="1:4" x14ac:dyDescent="0.25">
      <c r="A512" s="130" t="s">
        <v>305</v>
      </c>
      <c r="B512" s="130">
        <v>14</v>
      </c>
      <c r="C512" s="131" t="e">
        <f>INDEX(#REF!,MATCH(B512,#REF!,MATCH(A512,#REF!,0)))</f>
        <v>#REF!</v>
      </c>
      <c r="D512" s="141">
        <v>512</v>
      </c>
    </row>
    <row r="513" spans="1:4" x14ac:dyDescent="0.25">
      <c r="A513" s="130" t="s">
        <v>305</v>
      </c>
      <c r="B513" s="130">
        <v>15</v>
      </c>
      <c r="C513" s="131" t="e">
        <f>INDEX(#REF!,MATCH(B513,#REF!,MATCH(A513,#REF!,0)))</f>
        <v>#REF!</v>
      </c>
      <c r="D513" s="141">
        <v>513</v>
      </c>
    </row>
    <row r="514" spans="1:4" x14ac:dyDescent="0.25">
      <c r="A514" s="130" t="s">
        <v>305</v>
      </c>
      <c r="B514" s="130">
        <v>16</v>
      </c>
      <c r="C514" s="131" t="e">
        <f>INDEX(#REF!,MATCH(B514,#REF!,MATCH(A514,#REF!,0)))</f>
        <v>#REF!</v>
      </c>
      <c r="D514" s="141">
        <v>514</v>
      </c>
    </row>
    <row r="515" spans="1:4" x14ac:dyDescent="0.25">
      <c r="A515" s="130" t="s">
        <v>305</v>
      </c>
      <c r="B515" s="130">
        <v>17</v>
      </c>
      <c r="C515" s="131" t="e">
        <f>INDEX(#REF!,MATCH(B515,#REF!,MATCH(A515,#REF!,0)))</f>
        <v>#REF!</v>
      </c>
      <c r="D515" s="141">
        <v>515</v>
      </c>
    </row>
    <row r="516" spans="1:4" x14ac:dyDescent="0.25">
      <c r="A516" s="130" t="s">
        <v>305</v>
      </c>
      <c r="B516" s="130">
        <v>18</v>
      </c>
      <c r="C516" s="131" t="e">
        <f>INDEX(#REF!,MATCH(B516,#REF!,MATCH(A516,#REF!,0)))</f>
        <v>#REF!</v>
      </c>
      <c r="D516" s="141">
        <v>516</v>
      </c>
    </row>
    <row r="517" spans="1:4" x14ac:dyDescent="0.25">
      <c r="A517" s="130" t="s">
        <v>305</v>
      </c>
      <c r="B517" s="130">
        <v>19</v>
      </c>
      <c r="C517" s="131" t="e">
        <f>INDEX(#REF!,MATCH(B517,#REF!,MATCH(A517,#REF!,0)))</f>
        <v>#REF!</v>
      </c>
      <c r="D517" s="141">
        <v>517</v>
      </c>
    </row>
    <row r="518" spans="1:4" x14ac:dyDescent="0.25">
      <c r="A518" s="130" t="s">
        <v>305</v>
      </c>
      <c r="B518" s="130">
        <v>20</v>
      </c>
      <c r="C518" s="131" t="e">
        <f>INDEX(#REF!,MATCH(B518,#REF!,MATCH(A518,#REF!,0)))</f>
        <v>#REF!</v>
      </c>
      <c r="D518" s="141">
        <v>518</v>
      </c>
    </row>
    <row r="519" spans="1:4" x14ac:dyDescent="0.25">
      <c r="A519" s="130" t="s">
        <v>305</v>
      </c>
      <c r="B519" s="130">
        <v>21</v>
      </c>
      <c r="C519" s="131" t="e">
        <f>INDEX(#REF!,MATCH(B519,#REF!,MATCH(A519,#REF!,0)))</f>
        <v>#REF!</v>
      </c>
      <c r="D519" s="141">
        <v>519</v>
      </c>
    </row>
    <row r="520" spans="1:4" x14ac:dyDescent="0.25">
      <c r="A520" s="130" t="s">
        <v>305</v>
      </c>
      <c r="B520" s="130">
        <v>22</v>
      </c>
      <c r="C520" s="131" t="e">
        <f>INDEX(#REF!,MATCH(B520,#REF!,MATCH(A520,#REF!,0)))</f>
        <v>#REF!</v>
      </c>
      <c r="D520" s="141">
        <v>520</v>
      </c>
    </row>
    <row r="521" spans="1:4" x14ac:dyDescent="0.25">
      <c r="A521" s="130" t="s">
        <v>305</v>
      </c>
      <c r="B521" s="130">
        <v>23</v>
      </c>
      <c r="C521" s="131" t="e">
        <f>INDEX(#REF!,MATCH(B521,#REF!,MATCH(A521,#REF!,0)))</f>
        <v>#REF!</v>
      </c>
      <c r="D521" s="141">
        <v>521</v>
      </c>
    </row>
    <row r="522" spans="1:4" x14ac:dyDescent="0.25">
      <c r="A522" s="130" t="s">
        <v>305</v>
      </c>
      <c r="B522" s="130">
        <v>24</v>
      </c>
      <c r="C522" s="131" t="e">
        <f>INDEX(#REF!,MATCH(B522,#REF!,MATCH(A522,#REF!,0)))</f>
        <v>#REF!</v>
      </c>
      <c r="D522" s="141">
        <v>522</v>
      </c>
    </row>
    <row r="523" spans="1:4" x14ac:dyDescent="0.25">
      <c r="A523" s="130" t="s">
        <v>305</v>
      </c>
      <c r="B523" s="130">
        <v>25</v>
      </c>
      <c r="C523" s="131" t="e">
        <f>INDEX(#REF!,MATCH(B523,#REF!,MATCH(A523,#REF!,0)))</f>
        <v>#REF!</v>
      </c>
      <c r="D523" s="141">
        <v>523</v>
      </c>
    </row>
    <row r="524" spans="1:4" x14ac:dyDescent="0.25">
      <c r="A524" s="130" t="s">
        <v>305</v>
      </c>
      <c r="B524" s="130">
        <v>26</v>
      </c>
      <c r="C524" s="131" t="e">
        <f>INDEX(#REF!,MATCH(B524,#REF!,MATCH(A524,#REF!,0)))</f>
        <v>#REF!</v>
      </c>
      <c r="D524" s="141">
        <v>524</v>
      </c>
    </row>
    <row r="525" spans="1:4" x14ac:dyDescent="0.25">
      <c r="A525" s="130" t="s">
        <v>305</v>
      </c>
      <c r="B525" s="130">
        <v>27</v>
      </c>
      <c r="C525" s="131" t="e">
        <f>INDEX(#REF!,MATCH(B525,#REF!,MATCH(A525,#REF!,0)))</f>
        <v>#REF!</v>
      </c>
      <c r="D525" s="141">
        <v>525</v>
      </c>
    </row>
    <row r="526" spans="1:4" x14ac:dyDescent="0.25">
      <c r="A526" s="130" t="s">
        <v>305</v>
      </c>
      <c r="B526" s="130">
        <v>28</v>
      </c>
      <c r="C526" s="131" t="e">
        <f>INDEX(#REF!,MATCH(B526,#REF!,MATCH(A526,#REF!,0)))</f>
        <v>#REF!</v>
      </c>
      <c r="D526" s="141">
        <v>526</v>
      </c>
    </row>
    <row r="527" spans="1:4" x14ac:dyDescent="0.25">
      <c r="A527" s="130" t="s">
        <v>305</v>
      </c>
      <c r="B527" s="130">
        <v>29</v>
      </c>
      <c r="C527" s="131" t="e">
        <f>INDEX(#REF!,MATCH(B527,#REF!,MATCH(A527,#REF!,0)))</f>
        <v>#REF!</v>
      </c>
      <c r="D527" s="141">
        <v>527</v>
      </c>
    </row>
    <row r="528" spans="1:4" x14ac:dyDescent="0.25">
      <c r="A528" s="130" t="s">
        <v>305</v>
      </c>
      <c r="B528" s="130">
        <v>30</v>
      </c>
      <c r="C528" s="131" t="e">
        <f>INDEX(#REF!,MATCH(B528,#REF!,MATCH(A528,#REF!,0)))</f>
        <v>#REF!</v>
      </c>
      <c r="D528" s="141">
        <v>528</v>
      </c>
    </row>
    <row r="529" spans="1:4" x14ac:dyDescent="0.25">
      <c r="A529" s="130" t="s">
        <v>306</v>
      </c>
      <c r="B529" s="130">
        <v>0</v>
      </c>
      <c r="C529" s="131" t="e">
        <f>INDEX(#REF!,MATCH(B529,#REF!,MATCH(A529,#REF!,0)))</f>
        <v>#REF!</v>
      </c>
      <c r="D529" s="141">
        <v>529</v>
      </c>
    </row>
    <row r="530" spans="1:4" x14ac:dyDescent="0.25">
      <c r="A530" s="130" t="s">
        <v>306</v>
      </c>
      <c r="B530" s="130">
        <v>1</v>
      </c>
      <c r="C530" s="131" t="e">
        <f>INDEX(#REF!,MATCH(B530,#REF!,MATCH(A530,#REF!,0)))</f>
        <v>#REF!</v>
      </c>
      <c r="D530" s="141">
        <v>530</v>
      </c>
    </row>
    <row r="531" spans="1:4" x14ac:dyDescent="0.25">
      <c r="A531" s="130" t="s">
        <v>306</v>
      </c>
      <c r="B531" s="130">
        <v>2</v>
      </c>
      <c r="C531" s="131" t="e">
        <f>INDEX(#REF!,MATCH(B531,#REF!,MATCH(A531,#REF!,0)))</f>
        <v>#REF!</v>
      </c>
      <c r="D531" s="141">
        <v>531</v>
      </c>
    </row>
    <row r="532" spans="1:4" x14ac:dyDescent="0.25">
      <c r="A532" s="130" t="s">
        <v>306</v>
      </c>
      <c r="B532" s="130">
        <v>3</v>
      </c>
      <c r="C532" s="131" t="e">
        <f>INDEX(#REF!,MATCH(B532,#REF!,MATCH(A532,#REF!,0)))</f>
        <v>#REF!</v>
      </c>
      <c r="D532" s="141">
        <v>532</v>
      </c>
    </row>
    <row r="533" spans="1:4" x14ac:dyDescent="0.25">
      <c r="A533" s="130" t="s">
        <v>306</v>
      </c>
      <c r="B533" s="130">
        <v>4</v>
      </c>
      <c r="C533" s="131" t="e">
        <f>INDEX(#REF!,MATCH(B533,#REF!,MATCH(A533,#REF!,0)))</f>
        <v>#REF!</v>
      </c>
      <c r="D533" s="141">
        <v>533</v>
      </c>
    </row>
    <row r="534" spans="1:4" x14ac:dyDescent="0.25">
      <c r="A534" s="130" t="s">
        <v>306</v>
      </c>
      <c r="B534" s="130">
        <v>5</v>
      </c>
      <c r="C534" s="131" t="e">
        <f>INDEX(#REF!,MATCH(B534,#REF!,MATCH(A534,#REF!,0)))</f>
        <v>#REF!</v>
      </c>
      <c r="D534" s="141">
        <v>534</v>
      </c>
    </row>
    <row r="535" spans="1:4" x14ac:dyDescent="0.25">
      <c r="A535" s="130" t="s">
        <v>306</v>
      </c>
      <c r="B535" s="130">
        <v>6</v>
      </c>
      <c r="C535" s="131" t="e">
        <f>INDEX(#REF!,MATCH(B535,#REF!,MATCH(A535,#REF!,0)))</f>
        <v>#REF!</v>
      </c>
      <c r="D535" s="141">
        <v>535</v>
      </c>
    </row>
    <row r="536" spans="1:4" x14ac:dyDescent="0.25">
      <c r="A536" s="130" t="s">
        <v>306</v>
      </c>
      <c r="B536" s="130">
        <v>7</v>
      </c>
      <c r="C536" s="131" t="e">
        <f>INDEX(#REF!,MATCH(B536,#REF!,MATCH(A536,#REF!,0)))</f>
        <v>#REF!</v>
      </c>
      <c r="D536" s="141">
        <v>536</v>
      </c>
    </row>
    <row r="537" spans="1:4" x14ac:dyDescent="0.25">
      <c r="A537" s="130" t="s">
        <v>306</v>
      </c>
      <c r="B537" s="130">
        <v>8</v>
      </c>
      <c r="C537" s="131" t="e">
        <f>INDEX(#REF!,MATCH(B537,#REF!,MATCH(A537,#REF!,0)))</f>
        <v>#REF!</v>
      </c>
      <c r="D537" s="141">
        <v>537</v>
      </c>
    </row>
    <row r="538" spans="1:4" x14ac:dyDescent="0.25">
      <c r="A538" s="130" t="s">
        <v>306</v>
      </c>
      <c r="B538" s="130">
        <v>9</v>
      </c>
      <c r="C538" s="131" t="e">
        <f>INDEX(#REF!,MATCH(B538,#REF!,MATCH(A538,#REF!,0)))</f>
        <v>#REF!</v>
      </c>
      <c r="D538" s="141">
        <v>538</v>
      </c>
    </row>
    <row r="539" spans="1:4" x14ac:dyDescent="0.25">
      <c r="A539" s="130" t="s">
        <v>306</v>
      </c>
      <c r="B539" s="130">
        <v>10</v>
      </c>
      <c r="C539" s="131" t="e">
        <f>INDEX(#REF!,MATCH(B539,#REF!,MATCH(A539,#REF!,0)))</f>
        <v>#REF!</v>
      </c>
      <c r="D539" s="141">
        <v>539</v>
      </c>
    </row>
    <row r="540" spans="1:4" x14ac:dyDescent="0.25">
      <c r="A540" s="130" t="s">
        <v>306</v>
      </c>
      <c r="B540" s="130">
        <v>11</v>
      </c>
      <c r="C540" s="131" t="e">
        <f>INDEX(#REF!,MATCH(B540,#REF!,MATCH(A540,#REF!,0)))</f>
        <v>#REF!</v>
      </c>
      <c r="D540" s="141">
        <v>540</v>
      </c>
    </row>
    <row r="541" spans="1:4" x14ac:dyDescent="0.25">
      <c r="A541" s="130" t="s">
        <v>306</v>
      </c>
      <c r="B541" s="130">
        <v>12</v>
      </c>
      <c r="C541" s="131" t="e">
        <f>INDEX(#REF!,MATCH(B541,#REF!,MATCH(A541,#REF!,0)))</f>
        <v>#REF!</v>
      </c>
      <c r="D541" s="141">
        <v>541</v>
      </c>
    </row>
    <row r="542" spans="1:4" x14ac:dyDescent="0.25">
      <c r="A542" s="130" t="s">
        <v>306</v>
      </c>
      <c r="B542" s="130">
        <v>13</v>
      </c>
      <c r="C542" s="131" t="e">
        <f>INDEX(#REF!,MATCH(B542,#REF!,MATCH(A542,#REF!,0)))</f>
        <v>#REF!</v>
      </c>
      <c r="D542" s="141">
        <v>542</v>
      </c>
    </row>
    <row r="543" spans="1:4" x14ac:dyDescent="0.25">
      <c r="A543" s="130" t="s">
        <v>306</v>
      </c>
      <c r="B543" s="130">
        <v>14</v>
      </c>
      <c r="C543" s="131" t="e">
        <f>INDEX(#REF!,MATCH(B543,#REF!,MATCH(A543,#REF!,0)))</f>
        <v>#REF!</v>
      </c>
      <c r="D543" s="141">
        <v>543</v>
      </c>
    </row>
    <row r="544" spans="1:4" x14ac:dyDescent="0.25">
      <c r="A544" s="130" t="s">
        <v>306</v>
      </c>
      <c r="B544" s="130">
        <v>15</v>
      </c>
      <c r="C544" s="131" t="e">
        <f>INDEX(#REF!,MATCH(B544,#REF!,MATCH(A544,#REF!,0)))</f>
        <v>#REF!</v>
      </c>
      <c r="D544" s="141">
        <v>544</v>
      </c>
    </row>
    <row r="545" spans="1:4" x14ac:dyDescent="0.25">
      <c r="A545" s="130" t="s">
        <v>306</v>
      </c>
      <c r="B545" s="130">
        <v>16</v>
      </c>
      <c r="C545" s="131" t="e">
        <f>INDEX(#REF!,MATCH(B545,#REF!,MATCH(A545,#REF!,0)))</f>
        <v>#REF!</v>
      </c>
      <c r="D545" s="141">
        <v>545</v>
      </c>
    </row>
    <row r="546" spans="1:4" x14ac:dyDescent="0.25">
      <c r="A546" s="130" t="s">
        <v>306</v>
      </c>
      <c r="B546" s="130">
        <v>17</v>
      </c>
      <c r="C546" s="131" t="e">
        <f>INDEX(#REF!,MATCH(B546,#REF!,MATCH(A546,#REF!,0)))</f>
        <v>#REF!</v>
      </c>
      <c r="D546" s="141">
        <v>546</v>
      </c>
    </row>
    <row r="547" spans="1:4" x14ac:dyDescent="0.25">
      <c r="A547" s="130" t="s">
        <v>306</v>
      </c>
      <c r="B547" s="130">
        <v>18</v>
      </c>
      <c r="C547" s="131" t="e">
        <f>INDEX(#REF!,MATCH(B547,#REF!,MATCH(A547,#REF!,0)))</f>
        <v>#REF!</v>
      </c>
      <c r="D547" s="141">
        <v>547</v>
      </c>
    </row>
    <row r="548" spans="1:4" x14ac:dyDescent="0.25">
      <c r="A548" s="130" t="s">
        <v>306</v>
      </c>
      <c r="B548" s="130">
        <v>19</v>
      </c>
      <c r="C548" s="131" t="e">
        <f>INDEX(#REF!,MATCH(B548,#REF!,MATCH(A548,#REF!,0)))</f>
        <v>#REF!</v>
      </c>
      <c r="D548" s="141">
        <v>548</v>
      </c>
    </row>
    <row r="549" spans="1:4" x14ac:dyDescent="0.25">
      <c r="A549" s="130" t="s">
        <v>306</v>
      </c>
      <c r="B549" s="130">
        <v>20</v>
      </c>
      <c r="C549" s="131" t="e">
        <f>INDEX(#REF!,MATCH(B549,#REF!,MATCH(A549,#REF!,0)))</f>
        <v>#REF!</v>
      </c>
      <c r="D549" s="141">
        <v>549</v>
      </c>
    </row>
    <row r="550" spans="1:4" x14ac:dyDescent="0.25">
      <c r="A550" s="130" t="s">
        <v>306</v>
      </c>
      <c r="B550" s="130">
        <v>21</v>
      </c>
      <c r="C550" s="131" t="e">
        <f>INDEX(#REF!,MATCH(B550,#REF!,MATCH(A550,#REF!,0)))</f>
        <v>#REF!</v>
      </c>
      <c r="D550" s="141">
        <v>550</v>
      </c>
    </row>
    <row r="551" spans="1:4" x14ac:dyDescent="0.25">
      <c r="A551" s="130" t="s">
        <v>306</v>
      </c>
      <c r="B551" s="130">
        <v>22</v>
      </c>
      <c r="C551" s="131" t="e">
        <f>INDEX(#REF!,MATCH(B551,#REF!,MATCH(A551,#REF!,0)))</f>
        <v>#REF!</v>
      </c>
      <c r="D551" s="141">
        <v>551</v>
      </c>
    </row>
    <row r="552" spans="1:4" x14ac:dyDescent="0.25">
      <c r="A552" s="130" t="s">
        <v>306</v>
      </c>
      <c r="B552" s="130">
        <v>23</v>
      </c>
      <c r="C552" s="131" t="e">
        <f>INDEX(#REF!,MATCH(B552,#REF!,MATCH(A552,#REF!,0)))</f>
        <v>#REF!</v>
      </c>
      <c r="D552" s="141">
        <v>552</v>
      </c>
    </row>
    <row r="553" spans="1:4" x14ac:dyDescent="0.25">
      <c r="A553" s="130" t="s">
        <v>306</v>
      </c>
      <c r="B553" s="130">
        <v>24</v>
      </c>
      <c r="C553" s="131" t="e">
        <f>INDEX(#REF!,MATCH(B553,#REF!,MATCH(A553,#REF!,0)))</f>
        <v>#REF!</v>
      </c>
      <c r="D553" s="141">
        <v>553</v>
      </c>
    </row>
    <row r="554" spans="1:4" x14ac:dyDescent="0.25">
      <c r="A554" s="130" t="s">
        <v>306</v>
      </c>
      <c r="B554" s="130">
        <v>25</v>
      </c>
      <c r="C554" s="131" t="e">
        <f>INDEX(#REF!,MATCH(B554,#REF!,MATCH(A554,#REF!,0)))</f>
        <v>#REF!</v>
      </c>
      <c r="D554" s="141">
        <v>554</v>
      </c>
    </row>
    <row r="555" spans="1:4" x14ac:dyDescent="0.25">
      <c r="A555" s="130" t="s">
        <v>306</v>
      </c>
      <c r="B555" s="130">
        <v>26</v>
      </c>
      <c r="C555" s="131" t="e">
        <f>INDEX(#REF!,MATCH(B555,#REF!,MATCH(A555,#REF!,0)))</f>
        <v>#REF!</v>
      </c>
      <c r="D555" s="141">
        <v>555</v>
      </c>
    </row>
    <row r="556" spans="1:4" x14ac:dyDescent="0.25">
      <c r="A556" s="130" t="s">
        <v>306</v>
      </c>
      <c r="B556" s="130">
        <v>27</v>
      </c>
      <c r="C556" s="131" t="e">
        <f>INDEX(#REF!,MATCH(B556,#REF!,MATCH(A556,#REF!,0)))</f>
        <v>#REF!</v>
      </c>
      <c r="D556" s="141">
        <v>556</v>
      </c>
    </row>
    <row r="557" spans="1:4" x14ac:dyDescent="0.25">
      <c r="A557" s="130" t="s">
        <v>306</v>
      </c>
      <c r="B557" s="130">
        <v>28</v>
      </c>
      <c r="C557" s="131" t="e">
        <f>INDEX(#REF!,MATCH(B557,#REF!,MATCH(A557,#REF!,0)))</f>
        <v>#REF!</v>
      </c>
      <c r="D557" s="141">
        <v>557</v>
      </c>
    </row>
    <row r="558" spans="1:4" x14ac:dyDescent="0.25">
      <c r="A558" s="130" t="s">
        <v>306</v>
      </c>
      <c r="B558" s="130">
        <v>29</v>
      </c>
      <c r="C558" s="131" t="e">
        <f>INDEX(#REF!,MATCH(B558,#REF!,MATCH(A558,#REF!,0)))</f>
        <v>#REF!</v>
      </c>
      <c r="D558" s="141">
        <v>558</v>
      </c>
    </row>
    <row r="559" spans="1:4" x14ac:dyDescent="0.25">
      <c r="A559" s="130" t="s">
        <v>306</v>
      </c>
      <c r="B559" s="130">
        <v>30</v>
      </c>
      <c r="C559" s="131" t="e">
        <f>INDEX(#REF!,MATCH(B559,#REF!,MATCH(A559,#REF!,0)))</f>
        <v>#REF!</v>
      </c>
      <c r="D559" s="141">
        <v>559</v>
      </c>
    </row>
    <row r="560" spans="1:4" x14ac:dyDescent="0.25">
      <c r="A560" s="130" t="s">
        <v>307</v>
      </c>
      <c r="B560" s="130">
        <v>0</v>
      </c>
      <c r="C560" s="131" t="e">
        <f>INDEX(#REF!,MATCH(B560,#REF!,MATCH(A560,#REF!,0)))</f>
        <v>#REF!</v>
      </c>
      <c r="D560" s="141">
        <v>560</v>
      </c>
    </row>
    <row r="561" spans="1:4" x14ac:dyDescent="0.25">
      <c r="A561" s="130" t="s">
        <v>307</v>
      </c>
      <c r="B561" s="130">
        <v>1</v>
      </c>
      <c r="C561" s="131" t="e">
        <f>INDEX(#REF!,MATCH(B561,#REF!,MATCH(A561,#REF!,0)))</f>
        <v>#REF!</v>
      </c>
      <c r="D561" s="141">
        <v>561</v>
      </c>
    </row>
    <row r="562" spans="1:4" x14ac:dyDescent="0.25">
      <c r="A562" s="130" t="s">
        <v>307</v>
      </c>
      <c r="B562" s="130">
        <v>2</v>
      </c>
      <c r="C562" s="131" t="e">
        <f>INDEX(#REF!,MATCH(B562,#REF!,MATCH(A562,#REF!,0)))</f>
        <v>#REF!</v>
      </c>
      <c r="D562" s="141">
        <v>562</v>
      </c>
    </row>
    <row r="563" spans="1:4" x14ac:dyDescent="0.25">
      <c r="A563" s="130" t="s">
        <v>307</v>
      </c>
      <c r="B563" s="130">
        <v>3</v>
      </c>
      <c r="C563" s="131" t="e">
        <f>INDEX(#REF!,MATCH(B563,#REF!,MATCH(A563,#REF!,0)))</f>
        <v>#REF!</v>
      </c>
      <c r="D563" s="141">
        <v>563</v>
      </c>
    </row>
    <row r="564" spans="1:4" x14ac:dyDescent="0.25">
      <c r="A564" s="130" t="s">
        <v>307</v>
      </c>
      <c r="B564" s="130">
        <v>4</v>
      </c>
      <c r="C564" s="131" t="e">
        <f>INDEX(#REF!,MATCH(B564,#REF!,MATCH(A564,#REF!,0)))</f>
        <v>#REF!</v>
      </c>
      <c r="D564" s="141">
        <v>564</v>
      </c>
    </row>
    <row r="565" spans="1:4" x14ac:dyDescent="0.25">
      <c r="A565" s="130" t="s">
        <v>307</v>
      </c>
      <c r="B565" s="130">
        <v>5</v>
      </c>
      <c r="C565" s="131" t="e">
        <f>INDEX(#REF!,MATCH(B565,#REF!,MATCH(A565,#REF!,0)))</f>
        <v>#REF!</v>
      </c>
      <c r="D565" s="141">
        <v>565</v>
      </c>
    </row>
    <row r="566" spans="1:4" x14ac:dyDescent="0.25">
      <c r="A566" s="130" t="s">
        <v>307</v>
      </c>
      <c r="B566" s="130">
        <v>6</v>
      </c>
      <c r="C566" s="131" t="e">
        <f>INDEX(#REF!,MATCH(B566,#REF!,MATCH(A566,#REF!,0)))</f>
        <v>#REF!</v>
      </c>
      <c r="D566" s="141">
        <v>566</v>
      </c>
    </row>
    <row r="567" spans="1:4" x14ac:dyDescent="0.25">
      <c r="A567" s="130" t="s">
        <v>307</v>
      </c>
      <c r="B567" s="130">
        <v>7</v>
      </c>
      <c r="C567" s="131" t="e">
        <f>INDEX(#REF!,MATCH(B567,#REF!,MATCH(A567,#REF!,0)))</f>
        <v>#REF!</v>
      </c>
      <c r="D567" s="141">
        <v>567</v>
      </c>
    </row>
    <row r="568" spans="1:4" x14ac:dyDescent="0.25">
      <c r="A568" s="130" t="s">
        <v>307</v>
      </c>
      <c r="B568" s="130">
        <v>8</v>
      </c>
      <c r="C568" s="131" t="e">
        <f>INDEX(#REF!,MATCH(B568,#REF!,MATCH(A568,#REF!,0)))</f>
        <v>#REF!</v>
      </c>
      <c r="D568" s="141">
        <v>568</v>
      </c>
    </row>
    <row r="569" spans="1:4" x14ac:dyDescent="0.25">
      <c r="A569" s="130" t="s">
        <v>307</v>
      </c>
      <c r="B569" s="130">
        <v>9</v>
      </c>
      <c r="C569" s="131" t="e">
        <f>INDEX(#REF!,MATCH(B569,#REF!,MATCH(A569,#REF!,0)))</f>
        <v>#REF!</v>
      </c>
      <c r="D569" s="141">
        <v>569</v>
      </c>
    </row>
    <row r="570" spans="1:4" x14ac:dyDescent="0.25">
      <c r="A570" s="130" t="s">
        <v>307</v>
      </c>
      <c r="B570" s="130">
        <v>10</v>
      </c>
      <c r="C570" s="131" t="e">
        <f>INDEX(#REF!,MATCH(B570,#REF!,MATCH(A570,#REF!,0)))</f>
        <v>#REF!</v>
      </c>
      <c r="D570" s="141">
        <v>570</v>
      </c>
    </row>
    <row r="571" spans="1:4" x14ac:dyDescent="0.25">
      <c r="A571" s="130" t="s">
        <v>307</v>
      </c>
      <c r="B571" s="130">
        <v>11</v>
      </c>
      <c r="C571" s="131" t="e">
        <f>INDEX(#REF!,MATCH(B571,#REF!,MATCH(A571,#REF!,0)))</f>
        <v>#REF!</v>
      </c>
      <c r="D571" s="141">
        <v>571</v>
      </c>
    </row>
    <row r="572" spans="1:4" x14ac:dyDescent="0.25">
      <c r="A572" s="130" t="s">
        <v>307</v>
      </c>
      <c r="B572" s="130">
        <v>12</v>
      </c>
      <c r="C572" s="131" t="e">
        <f>INDEX(#REF!,MATCH(B572,#REF!,MATCH(A572,#REF!,0)))</f>
        <v>#REF!</v>
      </c>
      <c r="D572" s="141">
        <v>572</v>
      </c>
    </row>
    <row r="573" spans="1:4" x14ac:dyDescent="0.25">
      <c r="A573" s="130" t="s">
        <v>307</v>
      </c>
      <c r="B573" s="130">
        <v>13</v>
      </c>
      <c r="C573" s="131" t="e">
        <f>INDEX(#REF!,MATCH(B573,#REF!,MATCH(A573,#REF!,0)))</f>
        <v>#REF!</v>
      </c>
      <c r="D573" s="141">
        <v>573</v>
      </c>
    </row>
    <row r="574" spans="1:4" x14ac:dyDescent="0.25">
      <c r="A574" s="130" t="s">
        <v>307</v>
      </c>
      <c r="B574" s="130">
        <v>14</v>
      </c>
      <c r="C574" s="131" t="e">
        <f>INDEX(#REF!,MATCH(B574,#REF!,MATCH(A574,#REF!,0)))</f>
        <v>#REF!</v>
      </c>
      <c r="D574" s="141">
        <v>574</v>
      </c>
    </row>
    <row r="575" spans="1:4" x14ac:dyDescent="0.25">
      <c r="A575" s="130" t="s">
        <v>307</v>
      </c>
      <c r="B575" s="130">
        <v>15</v>
      </c>
      <c r="C575" s="131" t="e">
        <f>INDEX(#REF!,MATCH(B575,#REF!,MATCH(A575,#REF!,0)))</f>
        <v>#REF!</v>
      </c>
      <c r="D575" s="141">
        <v>575</v>
      </c>
    </row>
    <row r="576" spans="1:4" x14ac:dyDescent="0.25">
      <c r="A576" s="130" t="s">
        <v>307</v>
      </c>
      <c r="B576" s="130">
        <v>16</v>
      </c>
      <c r="C576" s="131" t="e">
        <f>INDEX(#REF!,MATCH(B576,#REF!,MATCH(A576,#REF!,0)))</f>
        <v>#REF!</v>
      </c>
      <c r="D576" s="141">
        <v>576</v>
      </c>
    </row>
    <row r="577" spans="1:4" x14ac:dyDescent="0.25">
      <c r="A577" s="130" t="s">
        <v>307</v>
      </c>
      <c r="B577" s="130">
        <v>17</v>
      </c>
      <c r="C577" s="131" t="e">
        <f>INDEX(#REF!,MATCH(B577,#REF!,MATCH(A577,#REF!,0)))</f>
        <v>#REF!</v>
      </c>
      <c r="D577" s="141">
        <v>577</v>
      </c>
    </row>
    <row r="578" spans="1:4" x14ac:dyDescent="0.25">
      <c r="A578" s="130" t="s">
        <v>307</v>
      </c>
      <c r="B578" s="130">
        <v>18</v>
      </c>
      <c r="C578" s="131" t="e">
        <f>INDEX(#REF!,MATCH(B578,#REF!,MATCH(A578,#REF!,0)))</f>
        <v>#REF!</v>
      </c>
      <c r="D578" s="141">
        <v>578</v>
      </c>
    </row>
    <row r="579" spans="1:4" x14ac:dyDescent="0.25">
      <c r="A579" s="130" t="s">
        <v>307</v>
      </c>
      <c r="B579" s="130">
        <v>19</v>
      </c>
      <c r="C579" s="131" t="e">
        <f>INDEX(#REF!,MATCH(B579,#REF!,MATCH(A579,#REF!,0)))</f>
        <v>#REF!</v>
      </c>
      <c r="D579" s="141">
        <v>579</v>
      </c>
    </row>
    <row r="580" spans="1:4" x14ac:dyDescent="0.25">
      <c r="A580" s="130" t="s">
        <v>307</v>
      </c>
      <c r="B580" s="130">
        <v>20</v>
      </c>
      <c r="C580" s="131" t="e">
        <f>INDEX(#REF!,MATCH(B580,#REF!,MATCH(A580,#REF!,0)))</f>
        <v>#REF!</v>
      </c>
      <c r="D580" s="141">
        <v>580</v>
      </c>
    </row>
    <row r="581" spans="1:4" x14ac:dyDescent="0.25">
      <c r="A581" s="130" t="s">
        <v>307</v>
      </c>
      <c r="B581" s="130">
        <v>21</v>
      </c>
      <c r="C581" s="131" t="e">
        <f>INDEX(#REF!,MATCH(B581,#REF!,MATCH(A581,#REF!,0)))</f>
        <v>#REF!</v>
      </c>
      <c r="D581" s="141">
        <v>581</v>
      </c>
    </row>
    <row r="582" spans="1:4" x14ac:dyDescent="0.25">
      <c r="A582" s="130" t="s">
        <v>307</v>
      </c>
      <c r="B582" s="130">
        <v>22</v>
      </c>
      <c r="C582" s="131" t="e">
        <f>INDEX(#REF!,MATCH(B582,#REF!,MATCH(A582,#REF!,0)))</f>
        <v>#REF!</v>
      </c>
      <c r="D582" s="141">
        <v>582</v>
      </c>
    </row>
    <row r="583" spans="1:4" x14ac:dyDescent="0.25">
      <c r="A583" s="130" t="s">
        <v>307</v>
      </c>
      <c r="B583" s="130">
        <v>23</v>
      </c>
      <c r="C583" s="131" t="e">
        <f>INDEX(#REF!,MATCH(B583,#REF!,MATCH(A583,#REF!,0)))</f>
        <v>#REF!</v>
      </c>
      <c r="D583" s="141">
        <v>583</v>
      </c>
    </row>
    <row r="584" spans="1:4" x14ac:dyDescent="0.25">
      <c r="A584" s="130" t="s">
        <v>307</v>
      </c>
      <c r="B584" s="130">
        <v>24</v>
      </c>
      <c r="C584" s="131" t="e">
        <f>INDEX(#REF!,MATCH(B584,#REF!,MATCH(A584,#REF!,0)))</f>
        <v>#REF!</v>
      </c>
      <c r="D584" s="141">
        <v>584</v>
      </c>
    </row>
    <row r="585" spans="1:4" x14ac:dyDescent="0.25">
      <c r="A585" s="130" t="s">
        <v>307</v>
      </c>
      <c r="B585" s="130">
        <v>25</v>
      </c>
      <c r="C585" s="131" t="e">
        <f>INDEX(#REF!,MATCH(B585,#REF!,MATCH(A585,#REF!,0)))</f>
        <v>#REF!</v>
      </c>
      <c r="D585" s="141">
        <v>585</v>
      </c>
    </row>
    <row r="586" spans="1:4" x14ac:dyDescent="0.25">
      <c r="A586" s="130" t="s">
        <v>307</v>
      </c>
      <c r="B586" s="130">
        <v>26</v>
      </c>
      <c r="C586" s="131" t="e">
        <f>INDEX(#REF!,MATCH(B586,#REF!,MATCH(A586,#REF!,0)))</f>
        <v>#REF!</v>
      </c>
      <c r="D586" s="141">
        <v>586</v>
      </c>
    </row>
    <row r="587" spans="1:4" x14ac:dyDescent="0.25">
      <c r="A587" s="130" t="s">
        <v>307</v>
      </c>
      <c r="B587" s="130">
        <v>27</v>
      </c>
      <c r="C587" s="131" t="e">
        <f>INDEX(#REF!,MATCH(B587,#REF!,MATCH(A587,#REF!,0)))</f>
        <v>#REF!</v>
      </c>
      <c r="D587" s="141">
        <v>587</v>
      </c>
    </row>
    <row r="588" spans="1:4" x14ac:dyDescent="0.25">
      <c r="A588" s="130" t="s">
        <v>307</v>
      </c>
      <c r="B588" s="130">
        <v>28</v>
      </c>
      <c r="C588" s="131" t="e">
        <f>INDEX(#REF!,MATCH(B588,#REF!,MATCH(A588,#REF!,0)))</f>
        <v>#REF!</v>
      </c>
      <c r="D588" s="141">
        <v>588</v>
      </c>
    </row>
    <row r="589" spans="1:4" x14ac:dyDescent="0.25">
      <c r="A589" s="130" t="s">
        <v>307</v>
      </c>
      <c r="B589" s="130">
        <v>29</v>
      </c>
      <c r="C589" s="131" t="e">
        <f>INDEX(#REF!,MATCH(B589,#REF!,MATCH(A589,#REF!,0)))</f>
        <v>#REF!</v>
      </c>
      <c r="D589" s="141">
        <v>589</v>
      </c>
    </row>
    <row r="590" spans="1:4" x14ac:dyDescent="0.25">
      <c r="A590" s="130" t="s">
        <v>307</v>
      </c>
      <c r="B590" s="130">
        <v>30</v>
      </c>
      <c r="C590" s="131" t="e">
        <f>INDEX(#REF!,MATCH(B590,#REF!,MATCH(A590,#REF!,0)))</f>
        <v>#REF!</v>
      </c>
      <c r="D590" s="141">
        <v>590</v>
      </c>
    </row>
    <row r="591" spans="1:4" x14ac:dyDescent="0.25">
      <c r="A591" s="130" t="s">
        <v>308</v>
      </c>
      <c r="B591" s="130">
        <v>0</v>
      </c>
      <c r="C591" s="131" t="e">
        <f>INDEX(#REF!,MATCH(B591,#REF!,MATCH(A591,#REF!,0)))</f>
        <v>#REF!</v>
      </c>
      <c r="D591" s="141">
        <v>591</v>
      </c>
    </row>
    <row r="592" spans="1:4" x14ac:dyDescent="0.25">
      <c r="A592" s="130" t="s">
        <v>308</v>
      </c>
      <c r="B592" s="130">
        <v>1</v>
      </c>
      <c r="C592" s="131" t="e">
        <f>INDEX(#REF!,MATCH(B592,#REF!,MATCH(A592,#REF!,0)))</f>
        <v>#REF!</v>
      </c>
      <c r="D592" s="141">
        <v>592</v>
      </c>
    </row>
    <row r="593" spans="1:4" x14ac:dyDescent="0.25">
      <c r="A593" s="130" t="s">
        <v>308</v>
      </c>
      <c r="B593" s="130">
        <v>2</v>
      </c>
      <c r="C593" s="131" t="e">
        <f>INDEX(#REF!,MATCH(B593,#REF!,MATCH(A593,#REF!,0)))</f>
        <v>#REF!</v>
      </c>
      <c r="D593" s="141">
        <v>593</v>
      </c>
    </row>
    <row r="594" spans="1:4" x14ac:dyDescent="0.25">
      <c r="A594" s="130" t="s">
        <v>308</v>
      </c>
      <c r="B594" s="130">
        <v>3</v>
      </c>
      <c r="C594" s="131" t="e">
        <f>INDEX(#REF!,MATCH(B594,#REF!,MATCH(A594,#REF!,0)))</f>
        <v>#REF!</v>
      </c>
      <c r="D594" s="141">
        <v>594</v>
      </c>
    </row>
    <row r="595" spans="1:4" x14ac:dyDescent="0.25">
      <c r="A595" s="130" t="s">
        <v>308</v>
      </c>
      <c r="B595" s="130">
        <v>4</v>
      </c>
      <c r="C595" s="131" t="e">
        <f>INDEX(#REF!,MATCH(B595,#REF!,MATCH(A595,#REF!,0)))</f>
        <v>#REF!</v>
      </c>
      <c r="D595" s="141">
        <v>595</v>
      </c>
    </row>
    <row r="596" spans="1:4" x14ac:dyDescent="0.25">
      <c r="A596" s="130" t="s">
        <v>308</v>
      </c>
      <c r="B596" s="130">
        <v>5</v>
      </c>
      <c r="C596" s="131" t="e">
        <f>INDEX(#REF!,MATCH(B596,#REF!,MATCH(A596,#REF!,0)))</f>
        <v>#REF!</v>
      </c>
      <c r="D596" s="141">
        <v>596</v>
      </c>
    </row>
    <row r="597" spans="1:4" x14ac:dyDescent="0.25">
      <c r="A597" s="130" t="s">
        <v>308</v>
      </c>
      <c r="B597" s="130">
        <v>6</v>
      </c>
      <c r="C597" s="131" t="e">
        <f>INDEX(#REF!,MATCH(B597,#REF!,MATCH(A597,#REF!,0)))</f>
        <v>#REF!</v>
      </c>
      <c r="D597" s="141">
        <v>597</v>
      </c>
    </row>
    <row r="598" spans="1:4" x14ac:dyDescent="0.25">
      <c r="A598" s="130" t="s">
        <v>308</v>
      </c>
      <c r="B598" s="130">
        <v>7</v>
      </c>
      <c r="C598" s="131" t="e">
        <f>INDEX(#REF!,MATCH(B598,#REF!,MATCH(A598,#REF!,0)))</f>
        <v>#REF!</v>
      </c>
      <c r="D598" s="141">
        <v>598</v>
      </c>
    </row>
    <row r="599" spans="1:4" x14ac:dyDescent="0.25">
      <c r="A599" s="130" t="s">
        <v>308</v>
      </c>
      <c r="B599" s="130">
        <v>8</v>
      </c>
      <c r="C599" s="131" t="e">
        <f>INDEX(#REF!,MATCH(B599,#REF!,MATCH(A599,#REF!,0)))</f>
        <v>#REF!</v>
      </c>
      <c r="D599" s="141">
        <v>599</v>
      </c>
    </row>
    <row r="600" spans="1:4" x14ac:dyDescent="0.25">
      <c r="A600" s="130" t="s">
        <v>308</v>
      </c>
      <c r="B600" s="130">
        <v>9</v>
      </c>
      <c r="C600" s="131" t="e">
        <f>INDEX(#REF!,MATCH(B600,#REF!,MATCH(A600,#REF!,0)))</f>
        <v>#REF!</v>
      </c>
      <c r="D600" s="141">
        <v>600</v>
      </c>
    </row>
    <row r="601" spans="1:4" x14ac:dyDescent="0.25">
      <c r="A601" s="130" t="s">
        <v>308</v>
      </c>
      <c r="B601" s="130">
        <v>10</v>
      </c>
      <c r="C601" s="131" t="e">
        <f>INDEX(#REF!,MATCH(B601,#REF!,MATCH(A601,#REF!,0)))</f>
        <v>#REF!</v>
      </c>
      <c r="D601" s="141">
        <v>601</v>
      </c>
    </row>
    <row r="602" spans="1:4" x14ac:dyDescent="0.25">
      <c r="A602" s="130" t="s">
        <v>308</v>
      </c>
      <c r="B602" s="130">
        <v>11</v>
      </c>
      <c r="C602" s="131" t="e">
        <f>INDEX(#REF!,MATCH(B602,#REF!,MATCH(A602,#REF!,0)))</f>
        <v>#REF!</v>
      </c>
      <c r="D602" s="141">
        <v>602</v>
      </c>
    </row>
    <row r="603" spans="1:4" x14ac:dyDescent="0.25">
      <c r="A603" s="130" t="s">
        <v>308</v>
      </c>
      <c r="B603" s="130">
        <v>12</v>
      </c>
      <c r="C603" s="131" t="e">
        <f>INDEX(#REF!,MATCH(B603,#REF!,MATCH(A603,#REF!,0)))</f>
        <v>#REF!</v>
      </c>
      <c r="D603" s="141">
        <v>603</v>
      </c>
    </row>
    <row r="604" spans="1:4" x14ac:dyDescent="0.25">
      <c r="A604" s="130" t="s">
        <v>308</v>
      </c>
      <c r="B604" s="130">
        <v>13</v>
      </c>
      <c r="C604" s="131" t="e">
        <f>INDEX(#REF!,MATCH(B604,#REF!,MATCH(A604,#REF!,0)))</f>
        <v>#REF!</v>
      </c>
      <c r="D604" s="141">
        <v>604</v>
      </c>
    </row>
    <row r="605" spans="1:4" x14ac:dyDescent="0.25">
      <c r="A605" s="130" t="s">
        <v>308</v>
      </c>
      <c r="B605" s="130">
        <v>14</v>
      </c>
      <c r="C605" s="131" t="e">
        <f>INDEX(#REF!,MATCH(B605,#REF!,MATCH(A605,#REF!,0)))</f>
        <v>#REF!</v>
      </c>
      <c r="D605" s="141">
        <v>605</v>
      </c>
    </row>
    <row r="606" spans="1:4" x14ac:dyDescent="0.25">
      <c r="A606" s="130" t="s">
        <v>308</v>
      </c>
      <c r="B606" s="130">
        <v>15</v>
      </c>
      <c r="C606" s="131" t="e">
        <f>INDEX(#REF!,MATCH(B606,#REF!,MATCH(A606,#REF!,0)))</f>
        <v>#REF!</v>
      </c>
      <c r="D606" s="141">
        <v>606</v>
      </c>
    </row>
    <row r="607" spans="1:4" x14ac:dyDescent="0.25">
      <c r="A607" s="130" t="s">
        <v>308</v>
      </c>
      <c r="B607" s="130">
        <v>16</v>
      </c>
      <c r="C607" s="131" t="e">
        <f>INDEX(#REF!,MATCH(B607,#REF!,MATCH(A607,#REF!,0)))</f>
        <v>#REF!</v>
      </c>
      <c r="D607" s="141">
        <v>607</v>
      </c>
    </row>
    <row r="608" spans="1:4" x14ac:dyDescent="0.25">
      <c r="A608" s="130" t="s">
        <v>308</v>
      </c>
      <c r="B608" s="130">
        <v>17</v>
      </c>
      <c r="C608" s="131" t="e">
        <f>INDEX(#REF!,MATCH(B608,#REF!,MATCH(A608,#REF!,0)))</f>
        <v>#REF!</v>
      </c>
      <c r="D608" s="141">
        <v>608</v>
      </c>
    </row>
    <row r="609" spans="1:4" x14ac:dyDescent="0.25">
      <c r="A609" s="130" t="s">
        <v>308</v>
      </c>
      <c r="B609" s="130">
        <v>18</v>
      </c>
      <c r="C609" s="131" t="e">
        <f>INDEX(#REF!,MATCH(B609,#REF!,MATCH(A609,#REF!,0)))</f>
        <v>#REF!</v>
      </c>
      <c r="D609" s="141">
        <v>609</v>
      </c>
    </row>
    <row r="610" spans="1:4" x14ac:dyDescent="0.25">
      <c r="A610" s="130" t="s">
        <v>308</v>
      </c>
      <c r="B610" s="130">
        <v>19</v>
      </c>
      <c r="C610" s="131" t="e">
        <f>INDEX(#REF!,MATCH(B610,#REF!,MATCH(A610,#REF!,0)))</f>
        <v>#REF!</v>
      </c>
      <c r="D610" s="141">
        <v>610</v>
      </c>
    </row>
    <row r="611" spans="1:4" x14ac:dyDescent="0.25">
      <c r="A611" s="130" t="s">
        <v>308</v>
      </c>
      <c r="B611" s="130">
        <v>20</v>
      </c>
      <c r="C611" s="131" t="e">
        <f>INDEX(#REF!,MATCH(B611,#REF!,MATCH(A611,#REF!,0)))</f>
        <v>#REF!</v>
      </c>
      <c r="D611" s="141">
        <v>611</v>
      </c>
    </row>
    <row r="612" spans="1:4" x14ac:dyDescent="0.25">
      <c r="A612" s="130" t="s">
        <v>308</v>
      </c>
      <c r="B612" s="130">
        <v>21</v>
      </c>
      <c r="C612" s="131" t="e">
        <f>INDEX(#REF!,MATCH(B612,#REF!,MATCH(A612,#REF!,0)))</f>
        <v>#REF!</v>
      </c>
      <c r="D612" s="141">
        <v>612</v>
      </c>
    </row>
    <row r="613" spans="1:4" x14ac:dyDescent="0.25">
      <c r="A613" s="130" t="s">
        <v>308</v>
      </c>
      <c r="B613" s="130">
        <v>22</v>
      </c>
      <c r="C613" s="131" t="e">
        <f>INDEX(#REF!,MATCH(B613,#REF!,MATCH(A613,#REF!,0)))</f>
        <v>#REF!</v>
      </c>
      <c r="D613" s="141">
        <v>613</v>
      </c>
    </row>
    <row r="614" spans="1:4" x14ac:dyDescent="0.25">
      <c r="A614" s="130" t="s">
        <v>308</v>
      </c>
      <c r="B614" s="130">
        <v>23</v>
      </c>
      <c r="C614" s="131" t="e">
        <f>INDEX(#REF!,MATCH(B614,#REF!,MATCH(A614,#REF!,0)))</f>
        <v>#REF!</v>
      </c>
      <c r="D614" s="141">
        <v>614</v>
      </c>
    </row>
    <row r="615" spans="1:4" x14ac:dyDescent="0.25">
      <c r="A615" s="130" t="s">
        <v>308</v>
      </c>
      <c r="B615" s="130">
        <v>24</v>
      </c>
      <c r="C615" s="131" t="e">
        <f>INDEX(#REF!,MATCH(B615,#REF!,MATCH(A615,#REF!,0)))</f>
        <v>#REF!</v>
      </c>
      <c r="D615" s="141">
        <v>615</v>
      </c>
    </row>
    <row r="616" spans="1:4" x14ac:dyDescent="0.25">
      <c r="A616" s="130" t="s">
        <v>308</v>
      </c>
      <c r="B616" s="130">
        <v>25</v>
      </c>
      <c r="C616" s="131" t="e">
        <f>INDEX(#REF!,MATCH(B616,#REF!,MATCH(A616,#REF!,0)))</f>
        <v>#REF!</v>
      </c>
      <c r="D616" s="141">
        <v>616</v>
      </c>
    </row>
    <row r="617" spans="1:4" x14ac:dyDescent="0.25">
      <c r="A617" s="130" t="s">
        <v>308</v>
      </c>
      <c r="B617" s="130">
        <v>26</v>
      </c>
      <c r="C617" s="131" t="e">
        <f>INDEX(#REF!,MATCH(B617,#REF!,MATCH(A617,#REF!,0)))</f>
        <v>#REF!</v>
      </c>
      <c r="D617" s="141">
        <v>617</v>
      </c>
    </row>
    <row r="618" spans="1:4" x14ac:dyDescent="0.25">
      <c r="A618" s="130" t="s">
        <v>308</v>
      </c>
      <c r="B618" s="130">
        <v>27</v>
      </c>
      <c r="C618" s="131" t="e">
        <f>INDEX(#REF!,MATCH(B618,#REF!,MATCH(A618,#REF!,0)))</f>
        <v>#REF!</v>
      </c>
      <c r="D618" s="141">
        <v>618</v>
      </c>
    </row>
    <row r="619" spans="1:4" x14ac:dyDescent="0.25">
      <c r="A619" s="130" t="s">
        <v>308</v>
      </c>
      <c r="B619" s="130">
        <v>28</v>
      </c>
      <c r="C619" s="131" t="e">
        <f>INDEX(#REF!,MATCH(B619,#REF!,MATCH(A619,#REF!,0)))</f>
        <v>#REF!</v>
      </c>
      <c r="D619" s="141">
        <v>619</v>
      </c>
    </row>
    <row r="620" spans="1:4" x14ac:dyDescent="0.25">
      <c r="A620" s="130" t="s">
        <v>308</v>
      </c>
      <c r="B620" s="130">
        <v>29</v>
      </c>
      <c r="C620" s="131" t="e">
        <f>INDEX(#REF!,MATCH(B620,#REF!,MATCH(A620,#REF!,0)))</f>
        <v>#REF!</v>
      </c>
      <c r="D620" s="141">
        <v>620</v>
      </c>
    </row>
    <row r="621" spans="1:4" x14ac:dyDescent="0.25">
      <c r="A621" s="130" t="s">
        <v>308</v>
      </c>
      <c r="B621" s="130">
        <v>30</v>
      </c>
      <c r="C621" s="131" t="e">
        <f>INDEX(#REF!,MATCH(B621,#REF!,MATCH(A621,#REF!,0)))</f>
        <v>#REF!</v>
      </c>
      <c r="D621" s="141">
        <v>621</v>
      </c>
    </row>
    <row r="622" spans="1:4" x14ac:dyDescent="0.25">
      <c r="A622" s="130" t="s">
        <v>309</v>
      </c>
      <c r="B622" s="130">
        <v>0</v>
      </c>
      <c r="C622" s="131" t="e">
        <f>INDEX(#REF!,MATCH(B622,#REF!,MATCH(A622,#REF!,0)))</f>
        <v>#REF!</v>
      </c>
      <c r="D622" s="141">
        <v>622</v>
      </c>
    </row>
    <row r="623" spans="1:4" x14ac:dyDescent="0.25">
      <c r="A623" s="130" t="s">
        <v>309</v>
      </c>
      <c r="B623" s="130">
        <v>1</v>
      </c>
      <c r="C623" s="131" t="e">
        <f>INDEX(#REF!,MATCH(B623,#REF!,MATCH(A623,#REF!,0)))</f>
        <v>#REF!</v>
      </c>
      <c r="D623" s="141">
        <v>623</v>
      </c>
    </row>
    <row r="624" spans="1:4" x14ac:dyDescent="0.25">
      <c r="A624" s="130" t="s">
        <v>309</v>
      </c>
      <c r="B624" s="130">
        <v>2</v>
      </c>
      <c r="C624" s="131" t="e">
        <f>INDEX(#REF!,MATCH(B624,#REF!,MATCH(A624,#REF!,0)))</f>
        <v>#REF!</v>
      </c>
      <c r="D624" s="141">
        <v>624</v>
      </c>
    </row>
    <row r="625" spans="1:4" x14ac:dyDescent="0.25">
      <c r="A625" s="130" t="s">
        <v>309</v>
      </c>
      <c r="B625" s="130">
        <v>3</v>
      </c>
      <c r="C625" s="131" t="e">
        <f>INDEX(#REF!,MATCH(B625,#REF!,MATCH(A625,#REF!,0)))</f>
        <v>#REF!</v>
      </c>
      <c r="D625" s="141">
        <v>625</v>
      </c>
    </row>
    <row r="626" spans="1:4" x14ac:dyDescent="0.25">
      <c r="A626" s="130" t="s">
        <v>309</v>
      </c>
      <c r="B626" s="130">
        <v>4</v>
      </c>
      <c r="C626" s="131" t="e">
        <f>INDEX(#REF!,MATCH(B626,#REF!,MATCH(A626,#REF!,0)))</f>
        <v>#REF!</v>
      </c>
      <c r="D626" s="141">
        <v>626</v>
      </c>
    </row>
    <row r="627" spans="1:4" x14ac:dyDescent="0.25">
      <c r="A627" s="130" t="s">
        <v>309</v>
      </c>
      <c r="B627" s="130">
        <v>5</v>
      </c>
      <c r="C627" s="131" t="e">
        <f>INDEX(#REF!,MATCH(B627,#REF!,MATCH(A627,#REF!,0)))</f>
        <v>#REF!</v>
      </c>
      <c r="D627" s="141">
        <v>627</v>
      </c>
    </row>
    <row r="628" spans="1:4" x14ac:dyDescent="0.25">
      <c r="A628" s="130" t="s">
        <v>309</v>
      </c>
      <c r="B628" s="130">
        <v>6</v>
      </c>
      <c r="C628" s="131" t="e">
        <f>INDEX(#REF!,MATCH(B628,#REF!,MATCH(A628,#REF!,0)))</f>
        <v>#REF!</v>
      </c>
      <c r="D628" s="141">
        <v>628</v>
      </c>
    </row>
    <row r="629" spans="1:4" x14ac:dyDescent="0.25">
      <c r="A629" s="130" t="s">
        <v>309</v>
      </c>
      <c r="B629" s="130">
        <v>7</v>
      </c>
      <c r="C629" s="131" t="e">
        <f>INDEX(#REF!,MATCH(B629,#REF!,MATCH(A629,#REF!,0)))</f>
        <v>#REF!</v>
      </c>
      <c r="D629" s="141">
        <v>629</v>
      </c>
    </row>
    <row r="630" spans="1:4" x14ac:dyDescent="0.25">
      <c r="A630" s="130" t="s">
        <v>309</v>
      </c>
      <c r="B630" s="130">
        <v>8</v>
      </c>
      <c r="C630" s="131" t="e">
        <f>INDEX(#REF!,MATCH(B630,#REF!,MATCH(A630,#REF!,0)))</f>
        <v>#REF!</v>
      </c>
      <c r="D630" s="141">
        <v>630</v>
      </c>
    </row>
    <row r="631" spans="1:4" x14ac:dyDescent="0.25">
      <c r="A631" s="130" t="s">
        <v>309</v>
      </c>
      <c r="B631" s="130">
        <v>9</v>
      </c>
      <c r="C631" s="131" t="e">
        <f>INDEX(#REF!,MATCH(B631,#REF!,MATCH(A631,#REF!,0)))</f>
        <v>#REF!</v>
      </c>
      <c r="D631" s="141">
        <v>631</v>
      </c>
    </row>
    <row r="632" spans="1:4" x14ac:dyDescent="0.25">
      <c r="A632" s="130" t="s">
        <v>309</v>
      </c>
      <c r="B632" s="130">
        <v>10</v>
      </c>
      <c r="C632" s="131" t="e">
        <f>INDEX(#REF!,MATCH(B632,#REF!,MATCH(A632,#REF!,0)))</f>
        <v>#REF!</v>
      </c>
      <c r="D632" s="141">
        <v>632</v>
      </c>
    </row>
    <row r="633" spans="1:4" x14ac:dyDescent="0.25">
      <c r="A633" s="130" t="s">
        <v>309</v>
      </c>
      <c r="B633" s="130">
        <v>11</v>
      </c>
      <c r="C633" s="131" t="e">
        <f>INDEX(#REF!,MATCH(B633,#REF!,MATCH(A633,#REF!,0)))</f>
        <v>#REF!</v>
      </c>
      <c r="D633" s="141">
        <v>633</v>
      </c>
    </row>
    <row r="634" spans="1:4" x14ac:dyDescent="0.25">
      <c r="A634" s="130" t="s">
        <v>309</v>
      </c>
      <c r="B634" s="130">
        <v>12</v>
      </c>
      <c r="C634" s="131" t="e">
        <f>INDEX(#REF!,MATCH(B634,#REF!,MATCH(A634,#REF!,0)))</f>
        <v>#REF!</v>
      </c>
      <c r="D634" s="141">
        <v>634</v>
      </c>
    </row>
    <row r="635" spans="1:4" x14ac:dyDescent="0.25">
      <c r="A635" s="130" t="s">
        <v>309</v>
      </c>
      <c r="B635" s="130">
        <v>13</v>
      </c>
      <c r="C635" s="131" t="e">
        <f>INDEX(#REF!,MATCH(B635,#REF!,MATCH(A635,#REF!,0)))</f>
        <v>#REF!</v>
      </c>
      <c r="D635" s="141">
        <v>635</v>
      </c>
    </row>
    <row r="636" spans="1:4" x14ac:dyDescent="0.25">
      <c r="A636" s="130" t="s">
        <v>309</v>
      </c>
      <c r="B636" s="130">
        <v>14</v>
      </c>
      <c r="C636" s="131" t="e">
        <f>INDEX(#REF!,MATCH(B636,#REF!,MATCH(A636,#REF!,0)))</f>
        <v>#REF!</v>
      </c>
      <c r="D636" s="141">
        <v>636</v>
      </c>
    </row>
    <row r="637" spans="1:4" x14ac:dyDescent="0.25">
      <c r="A637" s="130" t="s">
        <v>309</v>
      </c>
      <c r="B637" s="130">
        <v>15</v>
      </c>
      <c r="C637" s="131" t="e">
        <f>INDEX(#REF!,MATCH(B637,#REF!,MATCH(A637,#REF!,0)))</f>
        <v>#REF!</v>
      </c>
      <c r="D637" s="141">
        <v>637</v>
      </c>
    </row>
    <row r="638" spans="1:4" x14ac:dyDescent="0.25">
      <c r="A638" s="130" t="s">
        <v>309</v>
      </c>
      <c r="B638" s="130">
        <v>16</v>
      </c>
      <c r="C638" s="131" t="e">
        <f>INDEX(#REF!,MATCH(B638,#REF!,MATCH(A638,#REF!,0)))</f>
        <v>#REF!</v>
      </c>
      <c r="D638" s="141">
        <v>638</v>
      </c>
    </row>
    <row r="639" spans="1:4" x14ac:dyDescent="0.25">
      <c r="A639" s="130" t="s">
        <v>309</v>
      </c>
      <c r="B639" s="130">
        <v>17</v>
      </c>
      <c r="C639" s="131" t="e">
        <f>INDEX(#REF!,MATCH(B639,#REF!,MATCH(A639,#REF!,0)))</f>
        <v>#REF!</v>
      </c>
      <c r="D639" s="141">
        <v>639</v>
      </c>
    </row>
    <row r="640" spans="1:4" x14ac:dyDescent="0.25">
      <c r="A640" s="130" t="s">
        <v>309</v>
      </c>
      <c r="B640" s="130">
        <v>18</v>
      </c>
      <c r="C640" s="131" t="e">
        <f>INDEX(#REF!,MATCH(B640,#REF!,MATCH(A640,#REF!,0)))</f>
        <v>#REF!</v>
      </c>
      <c r="D640" s="141">
        <v>640</v>
      </c>
    </row>
    <row r="641" spans="1:4" x14ac:dyDescent="0.25">
      <c r="A641" s="130" t="s">
        <v>309</v>
      </c>
      <c r="B641" s="130">
        <v>19</v>
      </c>
      <c r="C641" s="131" t="e">
        <f>INDEX(#REF!,MATCH(B641,#REF!,MATCH(A641,#REF!,0)))</f>
        <v>#REF!</v>
      </c>
      <c r="D641" s="141">
        <v>641</v>
      </c>
    </row>
    <row r="642" spans="1:4" x14ac:dyDescent="0.25">
      <c r="A642" s="130" t="s">
        <v>309</v>
      </c>
      <c r="B642" s="130">
        <v>20</v>
      </c>
      <c r="C642" s="131" t="e">
        <f>INDEX(#REF!,MATCH(B642,#REF!,MATCH(A642,#REF!,0)))</f>
        <v>#REF!</v>
      </c>
      <c r="D642" s="141">
        <v>642</v>
      </c>
    </row>
    <row r="643" spans="1:4" x14ac:dyDescent="0.25">
      <c r="A643" s="130" t="s">
        <v>309</v>
      </c>
      <c r="B643" s="130">
        <v>21</v>
      </c>
      <c r="C643" s="131" t="e">
        <f>INDEX(#REF!,MATCH(B643,#REF!,MATCH(A643,#REF!,0)))</f>
        <v>#REF!</v>
      </c>
      <c r="D643" s="141">
        <v>643</v>
      </c>
    </row>
    <row r="644" spans="1:4" x14ac:dyDescent="0.25">
      <c r="A644" s="130" t="s">
        <v>309</v>
      </c>
      <c r="B644" s="130">
        <v>22</v>
      </c>
      <c r="C644" s="131" t="e">
        <f>INDEX(#REF!,MATCH(B644,#REF!,MATCH(A644,#REF!,0)))</f>
        <v>#REF!</v>
      </c>
      <c r="D644" s="141">
        <v>644</v>
      </c>
    </row>
    <row r="645" spans="1:4" x14ac:dyDescent="0.25">
      <c r="A645" s="130" t="s">
        <v>309</v>
      </c>
      <c r="B645" s="130">
        <v>23</v>
      </c>
      <c r="C645" s="131" t="e">
        <f>INDEX(#REF!,MATCH(B645,#REF!,MATCH(A645,#REF!,0)))</f>
        <v>#REF!</v>
      </c>
      <c r="D645" s="141">
        <v>645</v>
      </c>
    </row>
    <row r="646" spans="1:4" x14ac:dyDescent="0.25">
      <c r="A646" s="130" t="s">
        <v>309</v>
      </c>
      <c r="B646" s="130">
        <v>24</v>
      </c>
      <c r="C646" s="131" t="e">
        <f>INDEX(#REF!,MATCH(B646,#REF!,MATCH(A646,#REF!,0)))</f>
        <v>#REF!</v>
      </c>
      <c r="D646" s="141">
        <v>646</v>
      </c>
    </row>
    <row r="647" spans="1:4" x14ac:dyDescent="0.25">
      <c r="A647" s="130" t="s">
        <v>309</v>
      </c>
      <c r="B647" s="130">
        <v>25</v>
      </c>
      <c r="C647" s="131" t="e">
        <f>INDEX(#REF!,MATCH(B647,#REF!,MATCH(A647,#REF!,0)))</f>
        <v>#REF!</v>
      </c>
      <c r="D647" s="141">
        <v>647</v>
      </c>
    </row>
    <row r="648" spans="1:4" x14ac:dyDescent="0.25">
      <c r="A648" s="130" t="s">
        <v>309</v>
      </c>
      <c r="B648" s="130">
        <v>26</v>
      </c>
      <c r="C648" s="131" t="e">
        <f>INDEX(#REF!,MATCH(B648,#REF!,MATCH(A648,#REF!,0)))</f>
        <v>#REF!</v>
      </c>
      <c r="D648" s="141">
        <v>648</v>
      </c>
    </row>
    <row r="649" spans="1:4" x14ac:dyDescent="0.25">
      <c r="A649" s="130" t="s">
        <v>309</v>
      </c>
      <c r="B649" s="130">
        <v>27</v>
      </c>
      <c r="C649" s="131" t="e">
        <f>INDEX(#REF!,MATCH(B649,#REF!,MATCH(A649,#REF!,0)))</f>
        <v>#REF!</v>
      </c>
      <c r="D649" s="141">
        <v>649</v>
      </c>
    </row>
    <row r="650" spans="1:4" x14ac:dyDescent="0.25">
      <c r="A650" s="130" t="s">
        <v>309</v>
      </c>
      <c r="B650" s="130">
        <v>28</v>
      </c>
      <c r="C650" s="131" t="e">
        <f>INDEX(#REF!,MATCH(B650,#REF!,MATCH(A650,#REF!,0)))</f>
        <v>#REF!</v>
      </c>
      <c r="D650" s="141">
        <v>650</v>
      </c>
    </row>
    <row r="651" spans="1:4" x14ac:dyDescent="0.25">
      <c r="A651" s="130" t="s">
        <v>309</v>
      </c>
      <c r="B651" s="130">
        <v>29</v>
      </c>
      <c r="C651" s="131" t="e">
        <f>INDEX(#REF!,MATCH(B651,#REF!,MATCH(A651,#REF!,0)))</f>
        <v>#REF!</v>
      </c>
      <c r="D651" s="141">
        <v>651</v>
      </c>
    </row>
    <row r="652" spans="1:4" x14ac:dyDescent="0.25">
      <c r="A652" s="130" t="s">
        <v>309</v>
      </c>
      <c r="B652" s="130">
        <v>30</v>
      </c>
      <c r="C652" s="131" t="e">
        <f>INDEX(#REF!,MATCH(B652,#REF!,MATCH(A652,#REF!,0)))</f>
        <v>#REF!</v>
      </c>
      <c r="D652" s="141">
        <v>652</v>
      </c>
    </row>
    <row r="653" spans="1:4" x14ac:dyDescent="0.25">
      <c r="A653" s="130" t="s">
        <v>310</v>
      </c>
      <c r="B653" s="130">
        <v>0</v>
      </c>
      <c r="C653" s="131" t="e">
        <f>INDEX(#REF!,MATCH(B653,#REF!,MATCH(A653,#REF!,0)))</f>
        <v>#REF!</v>
      </c>
      <c r="D653" s="141">
        <v>653</v>
      </c>
    </row>
    <row r="654" spans="1:4" x14ac:dyDescent="0.25">
      <c r="A654" s="130" t="s">
        <v>310</v>
      </c>
      <c r="B654" s="130">
        <v>1</v>
      </c>
      <c r="C654" s="131" t="e">
        <f>INDEX(#REF!,MATCH(B654,#REF!,MATCH(A654,#REF!,0)))</f>
        <v>#REF!</v>
      </c>
      <c r="D654" s="141">
        <v>654</v>
      </c>
    </row>
    <row r="655" spans="1:4" x14ac:dyDescent="0.25">
      <c r="A655" s="130" t="s">
        <v>310</v>
      </c>
      <c r="B655" s="130">
        <v>2</v>
      </c>
      <c r="C655" s="131" t="e">
        <f>INDEX(#REF!,MATCH(B655,#REF!,MATCH(A655,#REF!,0)))</f>
        <v>#REF!</v>
      </c>
      <c r="D655" s="141">
        <v>655</v>
      </c>
    </row>
    <row r="656" spans="1:4" x14ac:dyDescent="0.25">
      <c r="A656" s="130" t="s">
        <v>310</v>
      </c>
      <c r="B656" s="130">
        <v>3</v>
      </c>
      <c r="C656" s="131" t="e">
        <f>INDEX(#REF!,MATCH(B656,#REF!,MATCH(A656,#REF!,0)))</f>
        <v>#REF!</v>
      </c>
      <c r="D656" s="141">
        <v>656</v>
      </c>
    </row>
    <row r="657" spans="1:4" x14ac:dyDescent="0.25">
      <c r="A657" s="130" t="s">
        <v>310</v>
      </c>
      <c r="B657" s="130">
        <v>4</v>
      </c>
      <c r="C657" s="131" t="e">
        <f>INDEX(#REF!,MATCH(B657,#REF!,MATCH(A657,#REF!,0)))</f>
        <v>#REF!</v>
      </c>
      <c r="D657" s="141">
        <v>657</v>
      </c>
    </row>
    <row r="658" spans="1:4" x14ac:dyDescent="0.25">
      <c r="A658" s="130" t="s">
        <v>310</v>
      </c>
      <c r="B658" s="130">
        <v>5</v>
      </c>
      <c r="C658" s="131" t="e">
        <f>INDEX(#REF!,MATCH(B658,#REF!,MATCH(A658,#REF!,0)))</f>
        <v>#REF!</v>
      </c>
      <c r="D658" s="141">
        <v>658</v>
      </c>
    </row>
    <row r="659" spans="1:4" x14ac:dyDescent="0.25">
      <c r="A659" s="130" t="s">
        <v>310</v>
      </c>
      <c r="B659" s="130">
        <v>6</v>
      </c>
      <c r="C659" s="131" t="e">
        <f>INDEX(#REF!,MATCH(B659,#REF!,MATCH(A659,#REF!,0)))</f>
        <v>#REF!</v>
      </c>
      <c r="D659" s="141">
        <v>659</v>
      </c>
    </row>
    <row r="660" spans="1:4" x14ac:dyDescent="0.25">
      <c r="A660" s="130" t="s">
        <v>310</v>
      </c>
      <c r="B660" s="130">
        <v>7</v>
      </c>
      <c r="C660" s="131" t="e">
        <f>INDEX(#REF!,MATCH(B660,#REF!,MATCH(A660,#REF!,0)))</f>
        <v>#REF!</v>
      </c>
      <c r="D660" s="141">
        <v>660</v>
      </c>
    </row>
    <row r="661" spans="1:4" x14ac:dyDescent="0.25">
      <c r="A661" s="130" t="s">
        <v>310</v>
      </c>
      <c r="B661" s="130">
        <v>8</v>
      </c>
      <c r="C661" s="131" t="e">
        <f>INDEX(#REF!,MATCH(B661,#REF!,MATCH(A661,#REF!,0)))</f>
        <v>#REF!</v>
      </c>
      <c r="D661" s="141">
        <v>661</v>
      </c>
    </row>
    <row r="662" spans="1:4" x14ac:dyDescent="0.25">
      <c r="A662" s="130" t="s">
        <v>310</v>
      </c>
      <c r="B662" s="130">
        <v>9</v>
      </c>
      <c r="C662" s="131" t="e">
        <f>INDEX(#REF!,MATCH(B662,#REF!,MATCH(A662,#REF!,0)))</f>
        <v>#REF!</v>
      </c>
      <c r="D662" s="141">
        <v>662</v>
      </c>
    </row>
    <row r="663" spans="1:4" x14ac:dyDescent="0.25">
      <c r="A663" s="130" t="s">
        <v>310</v>
      </c>
      <c r="B663" s="130">
        <v>10</v>
      </c>
      <c r="C663" s="131" t="e">
        <f>INDEX(#REF!,MATCH(B663,#REF!,MATCH(A663,#REF!,0)))</f>
        <v>#REF!</v>
      </c>
      <c r="D663" s="141">
        <v>663</v>
      </c>
    </row>
    <row r="664" spans="1:4" x14ac:dyDescent="0.25">
      <c r="A664" s="130" t="s">
        <v>310</v>
      </c>
      <c r="B664" s="130">
        <v>11</v>
      </c>
      <c r="C664" s="131" t="e">
        <f>INDEX(#REF!,MATCH(B664,#REF!,MATCH(A664,#REF!,0)))</f>
        <v>#REF!</v>
      </c>
      <c r="D664" s="141">
        <v>664</v>
      </c>
    </row>
    <row r="665" spans="1:4" x14ac:dyDescent="0.25">
      <c r="A665" s="130" t="s">
        <v>310</v>
      </c>
      <c r="B665" s="130">
        <v>12</v>
      </c>
      <c r="C665" s="131" t="e">
        <f>INDEX(#REF!,MATCH(B665,#REF!,MATCH(A665,#REF!,0)))</f>
        <v>#REF!</v>
      </c>
      <c r="D665" s="141">
        <v>665</v>
      </c>
    </row>
    <row r="666" spans="1:4" x14ac:dyDescent="0.25">
      <c r="A666" s="130" t="s">
        <v>310</v>
      </c>
      <c r="B666" s="130">
        <v>13</v>
      </c>
      <c r="C666" s="131" t="e">
        <f>INDEX(#REF!,MATCH(B666,#REF!,MATCH(A666,#REF!,0)))</f>
        <v>#REF!</v>
      </c>
      <c r="D666" s="141">
        <v>666</v>
      </c>
    </row>
    <row r="667" spans="1:4" x14ac:dyDescent="0.25">
      <c r="A667" s="130" t="s">
        <v>310</v>
      </c>
      <c r="B667" s="130">
        <v>14</v>
      </c>
      <c r="C667" s="131" t="e">
        <f>INDEX(#REF!,MATCH(B667,#REF!,MATCH(A667,#REF!,0)))</f>
        <v>#REF!</v>
      </c>
      <c r="D667" s="141">
        <v>667</v>
      </c>
    </row>
    <row r="668" spans="1:4" x14ac:dyDescent="0.25">
      <c r="A668" s="130" t="s">
        <v>310</v>
      </c>
      <c r="B668" s="130">
        <v>15</v>
      </c>
      <c r="C668" s="131" t="e">
        <f>INDEX(#REF!,MATCH(B668,#REF!,MATCH(A668,#REF!,0)))</f>
        <v>#REF!</v>
      </c>
      <c r="D668" s="141">
        <v>668</v>
      </c>
    </row>
    <row r="669" spans="1:4" x14ac:dyDescent="0.25">
      <c r="A669" s="130" t="s">
        <v>310</v>
      </c>
      <c r="B669" s="130">
        <v>16</v>
      </c>
      <c r="C669" s="131" t="e">
        <f>INDEX(#REF!,MATCH(B669,#REF!,MATCH(A669,#REF!,0)))</f>
        <v>#REF!</v>
      </c>
      <c r="D669" s="141">
        <v>669</v>
      </c>
    </row>
    <row r="670" spans="1:4" x14ac:dyDescent="0.25">
      <c r="A670" s="130" t="s">
        <v>310</v>
      </c>
      <c r="B670" s="130">
        <v>17</v>
      </c>
      <c r="C670" s="131" t="e">
        <f>INDEX(#REF!,MATCH(B670,#REF!,MATCH(A670,#REF!,0)))</f>
        <v>#REF!</v>
      </c>
      <c r="D670" s="141">
        <v>670</v>
      </c>
    </row>
    <row r="671" spans="1:4" x14ac:dyDescent="0.25">
      <c r="A671" s="130" t="s">
        <v>310</v>
      </c>
      <c r="B671" s="130">
        <v>18</v>
      </c>
      <c r="C671" s="131" t="e">
        <f>INDEX(#REF!,MATCH(B671,#REF!,MATCH(A671,#REF!,0)))</f>
        <v>#REF!</v>
      </c>
      <c r="D671" s="141">
        <v>671</v>
      </c>
    </row>
    <row r="672" spans="1:4" x14ac:dyDescent="0.25">
      <c r="A672" s="130" t="s">
        <v>310</v>
      </c>
      <c r="B672" s="130">
        <v>19</v>
      </c>
      <c r="C672" s="131" t="e">
        <f>INDEX(#REF!,MATCH(B672,#REF!,MATCH(A672,#REF!,0)))</f>
        <v>#REF!</v>
      </c>
      <c r="D672" s="141">
        <v>672</v>
      </c>
    </row>
    <row r="673" spans="1:4" x14ac:dyDescent="0.25">
      <c r="A673" s="130" t="s">
        <v>310</v>
      </c>
      <c r="B673" s="130">
        <v>20</v>
      </c>
      <c r="C673" s="131" t="e">
        <f>INDEX(#REF!,MATCH(B673,#REF!,MATCH(A673,#REF!,0)))</f>
        <v>#REF!</v>
      </c>
      <c r="D673" s="141">
        <v>673</v>
      </c>
    </row>
    <row r="674" spans="1:4" x14ac:dyDescent="0.25">
      <c r="A674" s="130" t="s">
        <v>310</v>
      </c>
      <c r="B674" s="130">
        <v>21</v>
      </c>
      <c r="C674" s="131" t="e">
        <f>INDEX(#REF!,MATCH(B674,#REF!,MATCH(A674,#REF!,0)))</f>
        <v>#REF!</v>
      </c>
      <c r="D674" s="141">
        <v>674</v>
      </c>
    </row>
    <row r="675" spans="1:4" x14ac:dyDescent="0.25">
      <c r="A675" s="130" t="s">
        <v>310</v>
      </c>
      <c r="B675" s="130">
        <v>22</v>
      </c>
      <c r="C675" s="131" t="e">
        <f>INDEX(#REF!,MATCH(B675,#REF!,MATCH(A675,#REF!,0)))</f>
        <v>#REF!</v>
      </c>
      <c r="D675" s="141">
        <v>675</v>
      </c>
    </row>
    <row r="676" spans="1:4" x14ac:dyDescent="0.25">
      <c r="A676" s="130" t="s">
        <v>310</v>
      </c>
      <c r="B676" s="130">
        <v>23</v>
      </c>
      <c r="C676" s="131" t="e">
        <f>INDEX(#REF!,MATCH(B676,#REF!,MATCH(A676,#REF!,0)))</f>
        <v>#REF!</v>
      </c>
      <c r="D676" s="141">
        <v>676</v>
      </c>
    </row>
    <row r="677" spans="1:4" x14ac:dyDescent="0.25">
      <c r="A677" s="130" t="s">
        <v>310</v>
      </c>
      <c r="B677" s="130">
        <v>24</v>
      </c>
      <c r="C677" s="131" t="e">
        <f>INDEX(#REF!,MATCH(B677,#REF!,MATCH(A677,#REF!,0)))</f>
        <v>#REF!</v>
      </c>
      <c r="D677" s="141">
        <v>677</v>
      </c>
    </row>
    <row r="678" spans="1:4" x14ac:dyDescent="0.25">
      <c r="A678" s="130" t="s">
        <v>310</v>
      </c>
      <c r="B678" s="130">
        <v>25</v>
      </c>
      <c r="C678" s="131" t="e">
        <f>INDEX(#REF!,MATCH(B678,#REF!,MATCH(A678,#REF!,0)))</f>
        <v>#REF!</v>
      </c>
      <c r="D678" s="141">
        <v>678</v>
      </c>
    </row>
    <row r="679" spans="1:4" x14ac:dyDescent="0.25">
      <c r="A679" s="130" t="s">
        <v>310</v>
      </c>
      <c r="B679" s="130">
        <v>26</v>
      </c>
      <c r="C679" s="131" t="e">
        <f>INDEX(#REF!,MATCH(B679,#REF!,MATCH(A679,#REF!,0)))</f>
        <v>#REF!</v>
      </c>
      <c r="D679" s="141">
        <v>679</v>
      </c>
    </row>
    <row r="680" spans="1:4" x14ac:dyDescent="0.25">
      <c r="A680" s="130" t="s">
        <v>310</v>
      </c>
      <c r="B680" s="130">
        <v>27</v>
      </c>
      <c r="C680" s="131" t="e">
        <f>INDEX(#REF!,MATCH(B680,#REF!,MATCH(A680,#REF!,0)))</f>
        <v>#REF!</v>
      </c>
      <c r="D680" s="141">
        <v>680</v>
      </c>
    </row>
    <row r="681" spans="1:4" x14ac:dyDescent="0.25">
      <c r="A681" s="130" t="s">
        <v>310</v>
      </c>
      <c r="B681" s="130">
        <v>28</v>
      </c>
      <c r="C681" s="131" t="e">
        <f>INDEX(#REF!,MATCH(B681,#REF!,MATCH(A681,#REF!,0)))</f>
        <v>#REF!</v>
      </c>
      <c r="D681" s="141">
        <v>681</v>
      </c>
    </row>
    <row r="682" spans="1:4" x14ac:dyDescent="0.25">
      <c r="A682" s="130" t="s">
        <v>310</v>
      </c>
      <c r="B682" s="130">
        <v>29</v>
      </c>
      <c r="C682" s="131" t="e">
        <f>INDEX(#REF!,MATCH(B682,#REF!,MATCH(A682,#REF!,0)))</f>
        <v>#REF!</v>
      </c>
      <c r="D682" s="141">
        <v>682</v>
      </c>
    </row>
    <row r="683" spans="1:4" x14ac:dyDescent="0.25">
      <c r="A683" s="130" t="s">
        <v>310</v>
      </c>
      <c r="B683" s="130">
        <v>30</v>
      </c>
      <c r="C683" s="131" t="e">
        <f>INDEX(#REF!,MATCH(B683,#REF!,MATCH(A683,#REF!,0)))</f>
        <v>#REF!</v>
      </c>
      <c r="D683" s="141">
        <v>683</v>
      </c>
    </row>
    <row r="684" spans="1:4" x14ac:dyDescent="0.25">
      <c r="A684" s="130" t="s">
        <v>311</v>
      </c>
      <c r="B684" s="130">
        <v>0</v>
      </c>
      <c r="C684" s="131" t="e">
        <f>INDEX(#REF!,MATCH(B684,#REF!,MATCH(A684,#REF!,0)))</f>
        <v>#REF!</v>
      </c>
      <c r="D684" s="141">
        <v>684</v>
      </c>
    </row>
    <row r="685" spans="1:4" x14ac:dyDescent="0.25">
      <c r="A685" s="130" t="s">
        <v>311</v>
      </c>
      <c r="B685" s="130">
        <v>1</v>
      </c>
      <c r="C685" s="131" t="e">
        <f>INDEX(#REF!,MATCH(B685,#REF!,MATCH(A685,#REF!,0)))</f>
        <v>#REF!</v>
      </c>
      <c r="D685" s="141">
        <v>685</v>
      </c>
    </row>
    <row r="686" spans="1:4" x14ac:dyDescent="0.25">
      <c r="A686" s="130" t="s">
        <v>311</v>
      </c>
      <c r="B686" s="130">
        <v>2</v>
      </c>
      <c r="C686" s="131" t="e">
        <f>INDEX(#REF!,MATCH(B686,#REF!,MATCH(A686,#REF!,0)))</f>
        <v>#REF!</v>
      </c>
      <c r="D686" s="141">
        <v>686</v>
      </c>
    </row>
    <row r="687" spans="1:4" x14ac:dyDescent="0.25">
      <c r="A687" s="130" t="s">
        <v>311</v>
      </c>
      <c r="B687" s="130">
        <v>3</v>
      </c>
      <c r="C687" s="131" t="e">
        <f>INDEX(#REF!,MATCH(B687,#REF!,MATCH(A687,#REF!,0)))</f>
        <v>#REF!</v>
      </c>
      <c r="D687" s="141">
        <v>687</v>
      </c>
    </row>
    <row r="688" spans="1:4" x14ac:dyDescent="0.25">
      <c r="A688" s="130" t="s">
        <v>311</v>
      </c>
      <c r="B688" s="130">
        <v>4</v>
      </c>
      <c r="C688" s="131" t="e">
        <f>INDEX(#REF!,MATCH(B688,#REF!,MATCH(A688,#REF!,0)))</f>
        <v>#REF!</v>
      </c>
      <c r="D688" s="141">
        <v>688</v>
      </c>
    </row>
    <row r="689" spans="1:4" x14ac:dyDescent="0.25">
      <c r="A689" s="130" t="s">
        <v>311</v>
      </c>
      <c r="B689" s="130">
        <v>5</v>
      </c>
      <c r="C689" s="131" t="e">
        <f>INDEX(#REF!,MATCH(B689,#REF!,MATCH(A689,#REF!,0)))</f>
        <v>#REF!</v>
      </c>
      <c r="D689" s="141">
        <v>689</v>
      </c>
    </row>
    <row r="690" spans="1:4" x14ac:dyDescent="0.25">
      <c r="A690" s="130" t="s">
        <v>311</v>
      </c>
      <c r="B690" s="130">
        <v>6</v>
      </c>
      <c r="C690" s="131" t="e">
        <f>INDEX(#REF!,MATCH(B690,#REF!,MATCH(A690,#REF!,0)))</f>
        <v>#REF!</v>
      </c>
      <c r="D690" s="141">
        <v>690</v>
      </c>
    </row>
    <row r="691" spans="1:4" x14ac:dyDescent="0.25">
      <c r="A691" s="130" t="s">
        <v>311</v>
      </c>
      <c r="B691" s="130">
        <v>7</v>
      </c>
      <c r="C691" s="131" t="e">
        <f>INDEX(#REF!,MATCH(B691,#REF!,MATCH(A691,#REF!,0)))</f>
        <v>#REF!</v>
      </c>
      <c r="D691" s="141">
        <v>691</v>
      </c>
    </row>
    <row r="692" spans="1:4" x14ac:dyDescent="0.25">
      <c r="A692" s="130" t="s">
        <v>311</v>
      </c>
      <c r="B692" s="130">
        <v>8</v>
      </c>
      <c r="C692" s="131" t="e">
        <f>INDEX(#REF!,MATCH(B692,#REF!,MATCH(A692,#REF!,0)))</f>
        <v>#REF!</v>
      </c>
      <c r="D692" s="141">
        <v>692</v>
      </c>
    </row>
    <row r="693" spans="1:4" x14ac:dyDescent="0.25">
      <c r="A693" s="130" t="s">
        <v>311</v>
      </c>
      <c r="B693" s="130">
        <v>9</v>
      </c>
      <c r="C693" s="131" t="e">
        <f>INDEX(#REF!,MATCH(B693,#REF!,MATCH(A693,#REF!,0)))</f>
        <v>#REF!</v>
      </c>
      <c r="D693" s="141">
        <v>693</v>
      </c>
    </row>
    <row r="694" spans="1:4" x14ac:dyDescent="0.25">
      <c r="A694" s="130" t="s">
        <v>311</v>
      </c>
      <c r="B694" s="130">
        <v>10</v>
      </c>
      <c r="C694" s="131" t="e">
        <f>INDEX(#REF!,MATCH(B694,#REF!,MATCH(A694,#REF!,0)))</f>
        <v>#REF!</v>
      </c>
      <c r="D694" s="141">
        <v>694</v>
      </c>
    </row>
    <row r="695" spans="1:4" x14ac:dyDescent="0.25">
      <c r="A695" s="130" t="s">
        <v>311</v>
      </c>
      <c r="B695" s="130">
        <v>11</v>
      </c>
      <c r="C695" s="131" t="e">
        <f>INDEX(#REF!,MATCH(B695,#REF!,MATCH(A695,#REF!,0)))</f>
        <v>#REF!</v>
      </c>
      <c r="D695" s="141">
        <v>695</v>
      </c>
    </row>
    <row r="696" spans="1:4" x14ac:dyDescent="0.25">
      <c r="A696" s="130" t="s">
        <v>311</v>
      </c>
      <c r="B696" s="130">
        <v>12</v>
      </c>
      <c r="C696" s="131" t="e">
        <f>INDEX(#REF!,MATCH(B696,#REF!,MATCH(A696,#REF!,0)))</f>
        <v>#REF!</v>
      </c>
      <c r="D696" s="141">
        <v>696</v>
      </c>
    </row>
    <row r="697" spans="1:4" x14ac:dyDescent="0.25">
      <c r="A697" s="130" t="s">
        <v>311</v>
      </c>
      <c r="B697" s="130">
        <v>13</v>
      </c>
      <c r="C697" s="131" t="e">
        <f>INDEX(#REF!,MATCH(B697,#REF!,MATCH(A697,#REF!,0)))</f>
        <v>#REF!</v>
      </c>
      <c r="D697" s="141">
        <v>697</v>
      </c>
    </row>
    <row r="698" spans="1:4" x14ac:dyDescent="0.25">
      <c r="A698" s="130" t="s">
        <v>311</v>
      </c>
      <c r="B698" s="130">
        <v>14</v>
      </c>
      <c r="C698" s="131" t="e">
        <f>INDEX(#REF!,MATCH(B698,#REF!,MATCH(A698,#REF!,0)))</f>
        <v>#REF!</v>
      </c>
      <c r="D698" s="141">
        <v>698</v>
      </c>
    </row>
    <row r="699" spans="1:4" x14ac:dyDescent="0.25">
      <c r="A699" s="130" t="s">
        <v>311</v>
      </c>
      <c r="B699" s="130">
        <v>15</v>
      </c>
      <c r="C699" s="131" t="e">
        <f>INDEX(#REF!,MATCH(B699,#REF!,MATCH(A699,#REF!,0)))</f>
        <v>#REF!</v>
      </c>
      <c r="D699" s="141">
        <v>699</v>
      </c>
    </row>
    <row r="700" spans="1:4" x14ac:dyDescent="0.25">
      <c r="A700" s="130" t="s">
        <v>311</v>
      </c>
      <c r="B700" s="130">
        <v>16</v>
      </c>
      <c r="C700" s="131" t="e">
        <f>INDEX(#REF!,MATCH(B700,#REF!,MATCH(A700,#REF!,0)))</f>
        <v>#REF!</v>
      </c>
      <c r="D700" s="141">
        <v>700</v>
      </c>
    </row>
    <row r="701" spans="1:4" x14ac:dyDescent="0.25">
      <c r="A701" s="130" t="s">
        <v>311</v>
      </c>
      <c r="B701" s="130">
        <v>17</v>
      </c>
      <c r="C701" s="131" t="e">
        <f>INDEX(#REF!,MATCH(B701,#REF!,MATCH(A701,#REF!,0)))</f>
        <v>#REF!</v>
      </c>
      <c r="D701" s="141">
        <v>701</v>
      </c>
    </row>
    <row r="702" spans="1:4" x14ac:dyDescent="0.25">
      <c r="A702" s="130" t="s">
        <v>311</v>
      </c>
      <c r="B702" s="130">
        <v>18</v>
      </c>
      <c r="C702" s="131" t="e">
        <f>INDEX(#REF!,MATCH(B702,#REF!,MATCH(A702,#REF!,0)))</f>
        <v>#REF!</v>
      </c>
      <c r="D702" s="141">
        <v>702</v>
      </c>
    </row>
    <row r="703" spans="1:4" x14ac:dyDescent="0.25">
      <c r="A703" s="130" t="s">
        <v>311</v>
      </c>
      <c r="B703" s="130">
        <v>19</v>
      </c>
      <c r="C703" s="131" t="e">
        <f>INDEX(#REF!,MATCH(B703,#REF!,MATCH(A703,#REF!,0)))</f>
        <v>#REF!</v>
      </c>
      <c r="D703" s="141">
        <v>703</v>
      </c>
    </row>
    <row r="704" spans="1:4" x14ac:dyDescent="0.25">
      <c r="A704" s="130" t="s">
        <v>311</v>
      </c>
      <c r="B704" s="130">
        <v>20</v>
      </c>
      <c r="C704" s="131" t="e">
        <f>INDEX(#REF!,MATCH(B704,#REF!,MATCH(A704,#REF!,0)))</f>
        <v>#REF!</v>
      </c>
      <c r="D704" s="141">
        <v>704</v>
      </c>
    </row>
    <row r="705" spans="1:4" x14ac:dyDescent="0.25">
      <c r="A705" s="130" t="s">
        <v>311</v>
      </c>
      <c r="B705" s="130">
        <v>21</v>
      </c>
      <c r="C705" s="131" t="e">
        <f>INDEX(#REF!,MATCH(B705,#REF!,MATCH(A705,#REF!,0)))</f>
        <v>#REF!</v>
      </c>
      <c r="D705" s="141">
        <v>705</v>
      </c>
    </row>
    <row r="706" spans="1:4" x14ac:dyDescent="0.25">
      <c r="A706" s="130" t="s">
        <v>311</v>
      </c>
      <c r="B706" s="130">
        <v>22</v>
      </c>
      <c r="C706" s="131" t="e">
        <f>INDEX(#REF!,MATCH(B706,#REF!,MATCH(A706,#REF!,0)))</f>
        <v>#REF!</v>
      </c>
      <c r="D706" s="141">
        <v>706</v>
      </c>
    </row>
    <row r="707" spans="1:4" x14ac:dyDescent="0.25">
      <c r="A707" s="130" t="s">
        <v>311</v>
      </c>
      <c r="B707" s="130">
        <v>23</v>
      </c>
      <c r="C707" s="131" t="e">
        <f>INDEX(#REF!,MATCH(B707,#REF!,MATCH(A707,#REF!,0)))</f>
        <v>#REF!</v>
      </c>
      <c r="D707" s="141">
        <v>707</v>
      </c>
    </row>
    <row r="708" spans="1:4" x14ac:dyDescent="0.25">
      <c r="A708" s="130" t="s">
        <v>311</v>
      </c>
      <c r="B708" s="130">
        <v>24</v>
      </c>
      <c r="C708" s="131" t="e">
        <f>INDEX(#REF!,MATCH(B708,#REF!,MATCH(A708,#REF!,0)))</f>
        <v>#REF!</v>
      </c>
      <c r="D708" s="141">
        <v>708</v>
      </c>
    </row>
    <row r="709" spans="1:4" x14ac:dyDescent="0.25">
      <c r="A709" s="130" t="s">
        <v>311</v>
      </c>
      <c r="B709" s="130">
        <v>25</v>
      </c>
      <c r="C709" s="131" t="e">
        <f>INDEX(#REF!,MATCH(B709,#REF!,MATCH(A709,#REF!,0)))</f>
        <v>#REF!</v>
      </c>
      <c r="D709" s="141">
        <v>709</v>
      </c>
    </row>
    <row r="710" spans="1:4" x14ac:dyDescent="0.25">
      <c r="A710" s="130" t="s">
        <v>311</v>
      </c>
      <c r="B710" s="130">
        <v>26</v>
      </c>
      <c r="C710" s="131" t="e">
        <f>INDEX(#REF!,MATCH(B710,#REF!,MATCH(A710,#REF!,0)))</f>
        <v>#REF!</v>
      </c>
      <c r="D710" s="141">
        <v>710</v>
      </c>
    </row>
    <row r="711" spans="1:4" x14ac:dyDescent="0.25">
      <c r="A711" s="130" t="s">
        <v>311</v>
      </c>
      <c r="B711" s="130">
        <v>27</v>
      </c>
      <c r="C711" s="131" t="e">
        <f>INDEX(#REF!,MATCH(B711,#REF!,MATCH(A711,#REF!,0)))</f>
        <v>#REF!</v>
      </c>
      <c r="D711" s="141">
        <v>711</v>
      </c>
    </row>
    <row r="712" spans="1:4" x14ac:dyDescent="0.25">
      <c r="A712" s="130" t="s">
        <v>311</v>
      </c>
      <c r="B712" s="130">
        <v>28</v>
      </c>
      <c r="C712" s="131" t="e">
        <f>INDEX(#REF!,MATCH(B712,#REF!,MATCH(A712,#REF!,0)))</f>
        <v>#REF!</v>
      </c>
      <c r="D712" s="141">
        <v>712</v>
      </c>
    </row>
    <row r="713" spans="1:4" x14ac:dyDescent="0.25">
      <c r="A713" s="130" t="s">
        <v>311</v>
      </c>
      <c r="B713" s="130">
        <v>29</v>
      </c>
      <c r="C713" s="131" t="e">
        <f>INDEX(#REF!,MATCH(B713,#REF!,MATCH(A713,#REF!,0)))</f>
        <v>#REF!</v>
      </c>
      <c r="D713" s="141">
        <v>713</v>
      </c>
    </row>
    <row r="714" spans="1:4" x14ac:dyDescent="0.25">
      <c r="A714" s="130" t="s">
        <v>311</v>
      </c>
      <c r="B714" s="130">
        <v>30</v>
      </c>
      <c r="C714" s="131" t="e">
        <f>INDEX(#REF!,MATCH(B714,#REF!,MATCH(A714,#REF!,0)))</f>
        <v>#REF!</v>
      </c>
      <c r="D714" s="141">
        <v>714</v>
      </c>
    </row>
    <row r="715" spans="1:4" x14ac:dyDescent="0.25">
      <c r="A715" s="130" t="s">
        <v>312</v>
      </c>
      <c r="B715" s="130">
        <v>0</v>
      </c>
      <c r="C715" s="131" t="e">
        <f>INDEX(#REF!,MATCH(B715,#REF!,MATCH(A715,#REF!,0)))</f>
        <v>#REF!</v>
      </c>
      <c r="D715" s="141">
        <v>715</v>
      </c>
    </row>
    <row r="716" spans="1:4" x14ac:dyDescent="0.25">
      <c r="A716" s="130" t="s">
        <v>312</v>
      </c>
      <c r="B716" s="130">
        <v>1</v>
      </c>
      <c r="C716" s="131" t="e">
        <f>INDEX(#REF!,MATCH(B716,#REF!,MATCH(A716,#REF!,0)))</f>
        <v>#REF!</v>
      </c>
      <c r="D716" s="141">
        <v>716</v>
      </c>
    </row>
    <row r="717" spans="1:4" x14ac:dyDescent="0.25">
      <c r="A717" s="130" t="s">
        <v>312</v>
      </c>
      <c r="B717" s="130">
        <v>2</v>
      </c>
      <c r="C717" s="131" t="e">
        <f>INDEX(#REF!,MATCH(B717,#REF!,MATCH(A717,#REF!,0)))</f>
        <v>#REF!</v>
      </c>
      <c r="D717" s="141">
        <v>717</v>
      </c>
    </row>
    <row r="718" spans="1:4" x14ac:dyDescent="0.25">
      <c r="A718" s="130" t="s">
        <v>312</v>
      </c>
      <c r="B718" s="130">
        <v>3</v>
      </c>
      <c r="C718" s="131" t="e">
        <f>INDEX(#REF!,MATCH(B718,#REF!,MATCH(A718,#REF!,0)))</f>
        <v>#REF!</v>
      </c>
      <c r="D718" s="141">
        <v>718</v>
      </c>
    </row>
    <row r="719" spans="1:4" x14ac:dyDescent="0.25">
      <c r="A719" s="130" t="s">
        <v>312</v>
      </c>
      <c r="B719" s="130">
        <v>4</v>
      </c>
      <c r="C719" s="131" t="e">
        <f>INDEX(#REF!,MATCH(B719,#REF!,MATCH(A719,#REF!,0)))</f>
        <v>#REF!</v>
      </c>
      <c r="D719" s="141">
        <v>719</v>
      </c>
    </row>
    <row r="720" spans="1:4" x14ac:dyDescent="0.25">
      <c r="A720" s="130" t="s">
        <v>312</v>
      </c>
      <c r="B720" s="130">
        <v>5</v>
      </c>
      <c r="C720" s="131" t="e">
        <f>INDEX(#REF!,MATCH(B720,#REF!,MATCH(A720,#REF!,0)))</f>
        <v>#REF!</v>
      </c>
      <c r="D720" s="141">
        <v>720</v>
      </c>
    </row>
    <row r="721" spans="1:4" x14ac:dyDescent="0.25">
      <c r="A721" s="130" t="s">
        <v>312</v>
      </c>
      <c r="B721" s="130">
        <v>6</v>
      </c>
      <c r="C721" s="131" t="e">
        <f>INDEX(#REF!,MATCH(B721,#REF!,MATCH(A721,#REF!,0)))</f>
        <v>#REF!</v>
      </c>
      <c r="D721" s="141">
        <v>721</v>
      </c>
    </row>
    <row r="722" spans="1:4" x14ac:dyDescent="0.25">
      <c r="A722" s="130" t="s">
        <v>312</v>
      </c>
      <c r="B722" s="130">
        <v>7</v>
      </c>
      <c r="C722" s="131" t="e">
        <f>INDEX(#REF!,MATCH(B722,#REF!,MATCH(A722,#REF!,0)))</f>
        <v>#REF!</v>
      </c>
      <c r="D722" s="141">
        <v>722</v>
      </c>
    </row>
    <row r="723" spans="1:4" x14ac:dyDescent="0.25">
      <c r="A723" s="130" t="s">
        <v>312</v>
      </c>
      <c r="B723" s="130">
        <v>8</v>
      </c>
      <c r="C723" s="131" t="e">
        <f>INDEX(#REF!,MATCH(B723,#REF!,MATCH(A723,#REF!,0)))</f>
        <v>#REF!</v>
      </c>
      <c r="D723" s="141">
        <v>723</v>
      </c>
    </row>
    <row r="724" spans="1:4" x14ac:dyDescent="0.25">
      <c r="A724" s="130" t="s">
        <v>312</v>
      </c>
      <c r="B724" s="130">
        <v>9</v>
      </c>
      <c r="C724" s="131" t="e">
        <f>INDEX(#REF!,MATCH(B724,#REF!,MATCH(A724,#REF!,0)))</f>
        <v>#REF!</v>
      </c>
      <c r="D724" s="141">
        <v>724</v>
      </c>
    </row>
    <row r="725" spans="1:4" x14ac:dyDescent="0.25">
      <c r="A725" s="130" t="s">
        <v>312</v>
      </c>
      <c r="B725" s="130">
        <v>10</v>
      </c>
      <c r="C725" s="131" t="e">
        <f>INDEX(#REF!,MATCH(B725,#REF!,MATCH(A725,#REF!,0)))</f>
        <v>#REF!</v>
      </c>
      <c r="D725" s="141">
        <v>725</v>
      </c>
    </row>
    <row r="726" spans="1:4" x14ac:dyDescent="0.25">
      <c r="A726" s="130" t="s">
        <v>312</v>
      </c>
      <c r="B726" s="130">
        <v>11</v>
      </c>
      <c r="C726" s="131" t="e">
        <f>INDEX(#REF!,MATCH(B726,#REF!,MATCH(A726,#REF!,0)))</f>
        <v>#REF!</v>
      </c>
      <c r="D726" s="141">
        <v>726</v>
      </c>
    </row>
    <row r="727" spans="1:4" x14ac:dyDescent="0.25">
      <c r="A727" s="130" t="s">
        <v>312</v>
      </c>
      <c r="B727" s="130">
        <v>12</v>
      </c>
      <c r="C727" s="131" t="e">
        <f>INDEX(#REF!,MATCH(B727,#REF!,MATCH(A727,#REF!,0)))</f>
        <v>#REF!</v>
      </c>
      <c r="D727" s="141">
        <v>727</v>
      </c>
    </row>
    <row r="728" spans="1:4" x14ac:dyDescent="0.25">
      <c r="A728" s="130" t="s">
        <v>312</v>
      </c>
      <c r="B728" s="130">
        <v>13</v>
      </c>
      <c r="C728" s="131" t="e">
        <f>INDEX(#REF!,MATCH(B728,#REF!,MATCH(A728,#REF!,0)))</f>
        <v>#REF!</v>
      </c>
      <c r="D728" s="141">
        <v>728</v>
      </c>
    </row>
    <row r="729" spans="1:4" x14ac:dyDescent="0.25">
      <c r="A729" s="130" t="s">
        <v>312</v>
      </c>
      <c r="B729" s="130">
        <v>14</v>
      </c>
      <c r="C729" s="131" t="e">
        <f>INDEX(#REF!,MATCH(B729,#REF!,MATCH(A729,#REF!,0)))</f>
        <v>#REF!</v>
      </c>
      <c r="D729" s="141">
        <v>729</v>
      </c>
    </row>
    <row r="730" spans="1:4" x14ac:dyDescent="0.25">
      <c r="A730" s="130" t="s">
        <v>312</v>
      </c>
      <c r="B730" s="130">
        <v>15</v>
      </c>
      <c r="C730" s="131" t="e">
        <f>INDEX(#REF!,MATCH(B730,#REF!,MATCH(A730,#REF!,0)))</f>
        <v>#REF!</v>
      </c>
      <c r="D730" s="141">
        <v>730</v>
      </c>
    </row>
    <row r="731" spans="1:4" x14ac:dyDescent="0.25">
      <c r="A731" s="130" t="s">
        <v>312</v>
      </c>
      <c r="B731" s="130">
        <v>16</v>
      </c>
      <c r="C731" s="131" t="e">
        <f>INDEX(#REF!,MATCH(B731,#REF!,MATCH(A731,#REF!,0)))</f>
        <v>#REF!</v>
      </c>
      <c r="D731" s="141">
        <v>731</v>
      </c>
    </row>
    <row r="732" spans="1:4" x14ac:dyDescent="0.25">
      <c r="A732" s="130" t="s">
        <v>312</v>
      </c>
      <c r="B732" s="130">
        <v>17</v>
      </c>
      <c r="C732" s="131" t="e">
        <f>INDEX(#REF!,MATCH(B732,#REF!,MATCH(A732,#REF!,0)))</f>
        <v>#REF!</v>
      </c>
      <c r="D732" s="141">
        <v>732</v>
      </c>
    </row>
    <row r="733" spans="1:4" x14ac:dyDescent="0.25">
      <c r="A733" s="130" t="s">
        <v>312</v>
      </c>
      <c r="B733" s="130">
        <v>18</v>
      </c>
      <c r="C733" s="131" t="e">
        <f>INDEX(#REF!,MATCH(B733,#REF!,MATCH(A733,#REF!,0)))</f>
        <v>#REF!</v>
      </c>
      <c r="D733" s="141">
        <v>733</v>
      </c>
    </row>
    <row r="734" spans="1:4" x14ac:dyDescent="0.25">
      <c r="A734" s="130" t="s">
        <v>312</v>
      </c>
      <c r="B734" s="130">
        <v>19</v>
      </c>
      <c r="C734" s="131" t="e">
        <f>INDEX(#REF!,MATCH(B734,#REF!,MATCH(A734,#REF!,0)))</f>
        <v>#REF!</v>
      </c>
      <c r="D734" s="141">
        <v>734</v>
      </c>
    </row>
    <row r="735" spans="1:4" x14ac:dyDescent="0.25">
      <c r="A735" s="130" t="s">
        <v>312</v>
      </c>
      <c r="B735" s="130">
        <v>20</v>
      </c>
      <c r="C735" s="131" t="e">
        <f>INDEX(#REF!,MATCH(B735,#REF!,MATCH(A735,#REF!,0)))</f>
        <v>#REF!</v>
      </c>
      <c r="D735" s="141">
        <v>735</v>
      </c>
    </row>
    <row r="736" spans="1:4" x14ac:dyDescent="0.25">
      <c r="A736" s="130" t="s">
        <v>312</v>
      </c>
      <c r="B736" s="130">
        <v>21</v>
      </c>
      <c r="C736" s="131" t="e">
        <f>INDEX(#REF!,MATCH(B736,#REF!,MATCH(A736,#REF!,0)))</f>
        <v>#REF!</v>
      </c>
      <c r="D736" s="141">
        <v>736</v>
      </c>
    </row>
    <row r="737" spans="1:4" x14ac:dyDescent="0.25">
      <c r="A737" s="130" t="s">
        <v>312</v>
      </c>
      <c r="B737" s="130">
        <v>22</v>
      </c>
      <c r="C737" s="131" t="e">
        <f>INDEX(#REF!,MATCH(B737,#REF!,MATCH(A737,#REF!,0)))</f>
        <v>#REF!</v>
      </c>
      <c r="D737" s="141">
        <v>737</v>
      </c>
    </row>
    <row r="738" spans="1:4" x14ac:dyDescent="0.25">
      <c r="A738" s="130" t="s">
        <v>312</v>
      </c>
      <c r="B738" s="130">
        <v>23</v>
      </c>
      <c r="C738" s="131" t="e">
        <f>INDEX(#REF!,MATCH(B738,#REF!,MATCH(A738,#REF!,0)))</f>
        <v>#REF!</v>
      </c>
      <c r="D738" s="141">
        <v>738</v>
      </c>
    </row>
    <row r="739" spans="1:4" x14ac:dyDescent="0.25">
      <c r="A739" s="130" t="s">
        <v>312</v>
      </c>
      <c r="B739" s="130">
        <v>24</v>
      </c>
      <c r="C739" s="131" t="e">
        <f>INDEX(#REF!,MATCH(B739,#REF!,MATCH(A739,#REF!,0)))</f>
        <v>#REF!</v>
      </c>
      <c r="D739" s="141">
        <v>739</v>
      </c>
    </row>
    <row r="740" spans="1:4" x14ac:dyDescent="0.25">
      <c r="A740" s="130" t="s">
        <v>312</v>
      </c>
      <c r="B740" s="130">
        <v>25</v>
      </c>
      <c r="C740" s="131" t="e">
        <f>INDEX(#REF!,MATCH(B740,#REF!,MATCH(A740,#REF!,0)))</f>
        <v>#REF!</v>
      </c>
      <c r="D740" s="141">
        <v>740</v>
      </c>
    </row>
    <row r="741" spans="1:4" x14ac:dyDescent="0.25">
      <c r="A741" s="130" t="s">
        <v>312</v>
      </c>
      <c r="B741" s="130">
        <v>26</v>
      </c>
      <c r="C741" s="131" t="e">
        <f>INDEX(#REF!,MATCH(B741,#REF!,MATCH(A741,#REF!,0)))</f>
        <v>#REF!</v>
      </c>
      <c r="D741" s="141">
        <v>741</v>
      </c>
    </row>
    <row r="742" spans="1:4" x14ac:dyDescent="0.25">
      <c r="A742" s="130" t="s">
        <v>312</v>
      </c>
      <c r="B742" s="130">
        <v>27</v>
      </c>
      <c r="C742" s="131" t="e">
        <f>INDEX(#REF!,MATCH(B742,#REF!,MATCH(A742,#REF!,0)))</f>
        <v>#REF!</v>
      </c>
      <c r="D742" s="141">
        <v>742</v>
      </c>
    </row>
    <row r="743" spans="1:4" x14ac:dyDescent="0.25">
      <c r="A743" s="130" t="s">
        <v>312</v>
      </c>
      <c r="B743" s="130">
        <v>28</v>
      </c>
      <c r="C743" s="131" t="e">
        <f>INDEX(#REF!,MATCH(B743,#REF!,MATCH(A743,#REF!,0)))</f>
        <v>#REF!</v>
      </c>
      <c r="D743" s="141">
        <v>743</v>
      </c>
    </row>
    <row r="744" spans="1:4" x14ac:dyDescent="0.25">
      <c r="A744" s="130" t="s">
        <v>312</v>
      </c>
      <c r="B744" s="130">
        <v>29</v>
      </c>
      <c r="C744" s="131" t="e">
        <f>INDEX(#REF!,MATCH(B744,#REF!,MATCH(A744,#REF!,0)))</f>
        <v>#REF!</v>
      </c>
      <c r="D744" s="141">
        <v>744</v>
      </c>
    </row>
    <row r="745" spans="1:4" x14ac:dyDescent="0.25">
      <c r="A745" s="130" t="s">
        <v>312</v>
      </c>
      <c r="B745" s="130">
        <v>30</v>
      </c>
      <c r="C745" s="131" t="e">
        <f>INDEX(#REF!,MATCH(B745,#REF!,MATCH(A745,#REF!,0)))</f>
        <v>#REF!</v>
      </c>
      <c r="D745" s="141">
        <v>745</v>
      </c>
    </row>
    <row r="746" spans="1:4" x14ac:dyDescent="0.25">
      <c r="A746" s="130" t="s">
        <v>313</v>
      </c>
      <c r="B746" s="130">
        <v>0</v>
      </c>
      <c r="C746" s="131" t="e">
        <f>INDEX(#REF!,MATCH(B746,#REF!,MATCH(A746,#REF!,0)))</f>
        <v>#REF!</v>
      </c>
      <c r="D746" s="141">
        <v>746</v>
      </c>
    </row>
    <row r="747" spans="1:4" x14ac:dyDescent="0.25">
      <c r="A747" s="130" t="s">
        <v>313</v>
      </c>
      <c r="B747" s="130">
        <v>1</v>
      </c>
      <c r="C747" s="131" t="e">
        <f>INDEX(#REF!,MATCH(B747,#REF!,MATCH(A747,#REF!,0)))</f>
        <v>#REF!</v>
      </c>
      <c r="D747" s="141">
        <v>747</v>
      </c>
    </row>
    <row r="748" spans="1:4" x14ac:dyDescent="0.25">
      <c r="A748" s="130" t="s">
        <v>313</v>
      </c>
      <c r="B748" s="130">
        <v>2</v>
      </c>
      <c r="C748" s="131" t="e">
        <f>INDEX(#REF!,MATCH(B748,#REF!,MATCH(A748,#REF!,0)))</f>
        <v>#REF!</v>
      </c>
      <c r="D748" s="141">
        <v>748</v>
      </c>
    </row>
    <row r="749" spans="1:4" x14ac:dyDescent="0.25">
      <c r="A749" s="130" t="s">
        <v>313</v>
      </c>
      <c r="B749" s="130">
        <v>3</v>
      </c>
      <c r="C749" s="131" t="e">
        <f>INDEX(#REF!,MATCH(B749,#REF!,MATCH(A749,#REF!,0)))</f>
        <v>#REF!</v>
      </c>
      <c r="D749" s="141">
        <v>749</v>
      </c>
    </row>
    <row r="750" spans="1:4" x14ac:dyDescent="0.25">
      <c r="A750" s="130" t="s">
        <v>313</v>
      </c>
      <c r="B750" s="130">
        <v>4</v>
      </c>
      <c r="C750" s="131" t="e">
        <f>INDEX(#REF!,MATCH(B750,#REF!,MATCH(A750,#REF!,0)))</f>
        <v>#REF!</v>
      </c>
      <c r="D750" s="141">
        <v>750</v>
      </c>
    </row>
    <row r="751" spans="1:4" x14ac:dyDescent="0.25">
      <c r="A751" s="130" t="s">
        <v>313</v>
      </c>
      <c r="B751" s="130">
        <v>5</v>
      </c>
      <c r="C751" s="131" t="e">
        <f>INDEX(#REF!,MATCH(B751,#REF!,MATCH(A751,#REF!,0)))</f>
        <v>#REF!</v>
      </c>
      <c r="D751" s="141">
        <v>751</v>
      </c>
    </row>
    <row r="752" spans="1:4" x14ac:dyDescent="0.25">
      <c r="A752" s="130" t="s">
        <v>313</v>
      </c>
      <c r="B752" s="130">
        <v>6</v>
      </c>
      <c r="C752" s="131" t="e">
        <f>INDEX(#REF!,MATCH(B752,#REF!,MATCH(A752,#REF!,0)))</f>
        <v>#REF!</v>
      </c>
      <c r="D752" s="141">
        <v>752</v>
      </c>
    </row>
    <row r="753" spans="1:4" x14ac:dyDescent="0.25">
      <c r="A753" s="130" t="s">
        <v>313</v>
      </c>
      <c r="B753" s="130">
        <v>7</v>
      </c>
      <c r="C753" s="131" t="e">
        <f>INDEX(#REF!,MATCH(B753,#REF!,MATCH(A753,#REF!,0)))</f>
        <v>#REF!</v>
      </c>
      <c r="D753" s="141">
        <v>753</v>
      </c>
    </row>
    <row r="754" spans="1:4" x14ac:dyDescent="0.25">
      <c r="A754" s="130" t="s">
        <v>313</v>
      </c>
      <c r="B754" s="130">
        <v>8</v>
      </c>
      <c r="C754" s="131" t="e">
        <f>INDEX(#REF!,MATCH(B754,#REF!,MATCH(A754,#REF!,0)))</f>
        <v>#REF!</v>
      </c>
      <c r="D754" s="141">
        <v>754</v>
      </c>
    </row>
    <row r="755" spans="1:4" x14ac:dyDescent="0.25">
      <c r="A755" s="130" t="s">
        <v>313</v>
      </c>
      <c r="B755" s="130">
        <v>9</v>
      </c>
      <c r="C755" s="131" t="e">
        <f>INDEX(#REF!,MATCH(B755,#REF!,MATCH(A755,#REF!,0)))</f>
        <v>#REF!</v>
      </c>
      <c r="D755" s="141">
        <v>755</v>
      </c>
    </row>
    <row r="756" spans="1:4" x14ac:dyDescent="0.25">
      <c r="A756" s="130" t="s">
        <v>313</v>
      </c>
      <c r="B756" s="130">
        <v>10</v>
      </c>
      <c r="C756" s="131" t="e">
        <f>INDEX(#REF!,MATCH(B756,#REF!,MATCH(A756,#REF!,0)))</f>
        <v>#REF!</v>
      </c>
      <c r="D756" s="141">
        <v>756</v>
      </c>
    </row>
    <row r="757" spans="1:4" x14ac:dyDescent="0.25">
      <c r="A757" s="130" t="s">
        <v>313</v>
      </c>
      <c r="B757" s="130">
        <v>11</v>
      </c>
      <c r="C757" s="131" t="e">
        <f>INDEX(#REF!,MATCH(B757,#REF!,MATCH(A757,#REF!,0)))</f>
        <v>#REF!</v>
      </c>
      <c r="D757" s="141">
        <v>757</v>
      </c>
    </row>
    <row r="758" spans="1:4" x14ac:dyDescent="0.25">
      <c r="A758" s="130" t="s">
        <v>313</v>
      </c>
      <c r="B758" s="130">
        <v>12</v>
      </c>
      <c r="C758" s="131" t="e">
        <f>INDEX(#REF!,MATCH(B758,#REF!,MATCH(A758,#REF!,0)))</f>
        <v>#REF!</v>
      </c>
      <c r="D758" s="141">
        <v>758</v>
      </c>
    </row>
    <row r="759" spans="1:4" x14ac:dyDescent="0.25">
      <c r="A759" s="130" t="s">
        <v>313</v>
      </c>
      <c r="B759" s="130">
        <v>13</v>
      </c>
      <c r="C759" s="131" t="e">
        <f>INDEX(#REF!,MATCH(B759,#REF!,MATCH(A759,#REF!,0)))</f>
        <v>#REF!</v>
      </c>
      <c r="D759" s="141">
        <v>759</v>
      </c>
    </row>
    <row r="760" spans="1:4" x14ac:dyDescent="0.25">
      <c r="A760" s="130" t="s">
        <v>313</v>
      </c>
      <c r="B760" s="130">
        <v>14</v>
      </c>
      <c r="C760" s="131" t="e">
        <f>INDEX(#REF!,MATCH(B760,#REF!,MATCH(A760,#REF!,0)))</f>
        <v>#REF!</v>
      </c>
      <c r="D760" s="141">
        <v>760</v>
      </c>
    </row>
    <row r="761" spans="1:4" x14ac:dyDescent="0.25">
      <c r="A761" s="130" t="s">
        <v>313</v>
      </c>
      <c r="B761" s="130">
        <v>15</v>
      </c>
      <c r="C761" s="131" t="e">
        <f>INDEX(#REF!,MATCH(B761,#REF!,MATCH(A761,#REF!,0)))</f>
        <v>#REF!</v>
      </c>
      <c r="D761" s="141">
        <v>761</v>
      </c>
    </row>
    <row r="762" spans="1:4" x14ac:dyDescent="0.25">
      <c r="A762" s="130" t="s">
        <v>313</v>
      </c>
      <c r="B762" s="130">
        <v>16</v>
      </c>
      <c r="C762" s="131" t="e">
        <f>INDEX(#REF!,MATCH(B762,#REF!,MATCH(A762,#REF!,0)))</f>
        <v>#REF!</v>
      </c>
      <c r="D762" s="141">
        <v>762</v>
      </c>
    </row>
    <row r="763" spans="1:4" x14ac:dyDescent="0.25">
      <c r="A763" s="130" t="s">
        <v>313</v>
      </c>
      <c r="B763" s="130">
        <v>17</v>
      </c>
      <c r="C763" s="131" t="e">
        <f>INDEX(#REF!,MATCH(B763,#REF!,MATCH(A763,#REF!,0)))</f>
        <v>#REF!</v>
      </c>
      <c r="D763" s="141">
        <v>763</v>
      </c>
    </row>
    <row r="764" spans="1:4" x14ac:dyDescent="0.25">
      <c r="A764" s="130" t="s">
        <v>313</v>
      </c>
      <c r="B764" s="130">
        <v>18</v>
      </c>
      <c r="C764" s="131" t="e">
        <f>INDEX(#REF!,MATCH(B764,#REF!,MATCH(A764,#REF!,0)))</f>
        <v>#REF!</v>
      </c>
      <c r="D764" s="141">
        <v>764</v>
      </c>
    </row>
    <row r="765" spans="1:4" x14ac:dyDescent="0.25">
      <c r="A765" s="130" t="s">
        <v>313</v>
      </c>
      <c r="B765" s="130">
        <v>19</v>
      </c>
      <c r="C765" s="131" t="e">
        <f>INDEX(#REF!,MATCH(B765,#REF!,MATCH(A765,#REF!,0)))</f>
        <v>#REF!</v>
      </c>
      <c r="D765" s="141">
        <v>765</v>
      </c>
    </row>
    <row r="766" spans="1:4" x14ac:dyDescent="0.25">
      <c r="A766" s="130" t="s">
        <v>313</v>
      </c>
      <c r="B766" s="130">
        <v>20</v>
      </c>
      <c r="C766" s="131" t="e">
        <f>INDEX(#REF!,MATCH(B766,#REF!,MATCH(A766,#REF!,0)))</f>
        <v>#REF!</v>
      </c>
      <c r="D766" s="141">
        <v>766</v>
      </c>
    </row>
    <row r="767" spans="1:4" x14ac:dyDescent="0.25">
      <c r="A767" s="130" t="s">
        <v>313</v>
      </c>
      <c r="B767" s="130">
        <v>21</v>
      </c>
      <c r="C767" s="131" t="e">
        <f>INDEX(#REF!,MATCH(B767,#REF!,MATCH(A767,#REF!,0)))</f>
        <v>#REF!</v>
      </c>
      <c r="D767" s="141">
        <v>767</v>
      </c>
    </row>
    <row r="768" spans="1:4" x14ac:dyDescent="0.25">
      <c r="A768" s="130" t="s">
        <v>313</v>
      </c>
      <c r="B768" s="130">
        <v>22</v>
      </c>
      <c r="C768" s="131" t="e">
        <f>INDEX(#REF!,MATCH(B768,#REF!,MATCH(A768,#REF!,0)))</f>
        <v>#REF!</v>
      </c>
      <c r="D768" s="141">
        <v>768</v>
      </c>
    </row>
    <row r="769" spans="1:4" x14ac:dyDescent="0.25">
      <c r="A769" s="130" t="s">
        <v>313</v>
      </c>
      <c r="B769" s="130">
        <v>23</v>
      </c>
      <c r="C769" s="131" t="e">
        <f>INDEX(#REF!,MATCH(B769,#REF!,MATCH(A769,#REF!,0)))</f>
        <v>#REF!</v>
      </c>
      <c r="D769" s="141">
        <v>769</v>
      </c>
    </row>
    <row r="770" spans="1:4" x14ac:dyDescent="0.25">
      <c r="A770" s="130" t="s">
        <v>313</v>
      </c>
      <c r="B770" s="130">
        <v>24</v>
      </c>
      <c r="C770" s="131" t="e">
        <f>INDEX(#REF!,MATCH(B770,#REF!,MATCH(A770,#REF!,0)))</f>
        <v>#REF!</v>
      </c>
      <c r="D770" s="141">
        <v>770</v>
      </c>
    </row>
    <row r="771" spans="1:4" x14ac:dyDescent="0.25">
      <c r="A771" s="130" t="s">
        <v>313</v>
      </c>
      <c r="B771" s="130">
        <v>25</v>
      </c>
      <c r="C771" s="131" t="e">
        <f>INDEX(#REF!,MATCH(B771,#REF!,MATCH(A771,#REF!,0)))</f>
        <v>#REF!</v>
      </c>
      <c r="D771" s="141">
        <v>771</v>
      </c>
    </row>
    <row r="772" spans="1:4" x14ac:dyDescent="0.25">
      <c r="A772" s="130" t="s">
        <v>313</v>
      </c>
      <c r="B772" s="130">
        <v>26</v>
      </c>
      <c r="C772" s="131" t="e">
        <f>INDEX(#REF!,MATCH(B772,#REF!,MATCH(A772,#REF!,0)))</f>
        <v>#REF!</v>
      </c>
      <c r="D772" s="141">
        <v>772</v>
      </c>
    </row>
    <row r="773" spans="1:4" x14ac:dyDescent="0.25">
      <c r="A773" s="130" t="s">
        <v>313</v>
      </c>
      <c r="B773" s="130">
        <v>27</v>
      </c>
      <c r="C773" s="131" t="e">
        <f>INDEX(#REF!,MATCH(B773,#REF!,MATCH(A773,#REF!,0)))</f>
        <v>#REF!</v>
      </c>
      <c r="D773" s="141">
        <v>773</v>
      </c>
    </row>
    <row r="774" spans="1:4" x14ac:dyDescent="0.25">
      <c r="A774" s="130" t="s">
        <v>313</v>
      </c>
      <c r="B774" s="130">
        <v>28</v>
      </c>
      <c r="C774" s="131" t="e">
        <f>INDEX(#REF!,MATCH(B774,#REF!,MATCH(A774,#REF!,0)))</f>
        <v>#REF!</v>
      </c>
      <c r="D774" s="141">
        <v>774</v>
      </c>
    </row>
    <row r="775" spans="1:4" x14ac:dyDescent="0.25">
      <c r="A775" s="130" t="s">
        <v>313</v>
      </c>
      <c r="B775" s="130">
        <v>29</v>
      </c>
      <c r="C775" s="131" t="e">
        <f>INDEX(#REF!,MATCH(B775,#REF!,MATCH(A775,#REF!,0)))</f>
        <v>#REF!</v>
      </c>
      <c r="D775" s="141">
        <v>775</v>
      </c>
    </row>
    <row r="776" spans="1:4" x14ac:dyDescent="0.25">
      <c r="A776" s="130" t="s">
        <v>313</v>
      </c>
      <c r="B776" s="130">
        <v>30</v>
      </c>
      <c r="C776" s="131" t="e">
        <f>INDEX(#REF!,MATCH(B776,#REF!,MATCH(A776,#REF!,0)))</f>
        <v>#REF!</v>
      </c>
      <c r="D776" s="141">
        <v>776</v>
      </c>
    </row>
    <row r="777" spans="1:4" x14ac:dyDescent="0.25">
      <c r="A777" s="130" t="s">
        <v>314</v>
      </c>
      <c r="B777" s="130">
        <v>0</v>
      </c>
      <c r="C777" s="131" t="e">
        <f>INDEX(#REF!,MATCH(B777,#REF!,MATCH(A777,#REF!,0)))</f>
        <v>#REF!</v>
      </c>
      <c r="D777" s="141">
        <v>777</v>
      </c>
    </row>
    <row r="778" spans="1:4" x14ac:dyDescent="0.25">
      <c r="A778" s="130" t="s">
        <v>314</v>
      </c>
      <c r="B778" s="130">
        <v>1</v>
      </c>
      <c r="C778" s="131" t="e">
        <f>INDEX(#REF!,MATCH(B778,#REF!,MATCH(A778,#REF!,0)))</f>
        <v>#REF!</v>
      </c>
      <c r="D778" s="141">
        <v>778</v>
      </c>
    </row>
    <row r="779" spans="1:4" x14ac:dyDescent="0.25">
      <c r="A779" s="130" t="s">
        <v>314</v>
      </c>
      <c r="B779" s="130">
        <v>2</v>
      </c>
      <c r="C779" s="131" t="e">
        <f>INDEX(#REF!,MATCH(B779,#REF!,MATCH(A779,#REF!,0)))</f>
        <v>#REF!</v>
      </c>
      <c r="D779" s="141">
        <v>779</v>
      </c>
    </row>
    <row r="780" spans="1:4" x14ac:dyDescent="0.25">
      <c r="A780" s="130" t="s">
        <v>314</v>
      </c>
      <c r="B780" s="130">
        <v>3</v>
      </c>
      <c r="C780" s="131" t="e">
        <f>INDEX(#REF!,MATCH(B780,#REF!,MATCH(A780,#REF!,0)))</f>
        <v>#REF!</v>
      </c>
      <c r="D780" s="141">
        <v>780</v>
      </c>
    </row>
    <row r="781" spans="1:4" x14ac:dyDescent="0.25">
      <c r="A781" s="130" t="s">
        <v>314</v>
      </c>
      <c r="B781" s="130">
        <v>4</v>
      </c>
      <c r="C781" s="131" t="e">
        <f>INDEX(#REF!,MATCH(B781,#REF!,MATCH(A781,#REF!,0)))</f>
        <v>#REF!</v>
      </c>
      <c r="D781" s="141">
        <v>781</v>
      </c>
    </row>
    <row r="782" spans="1:4" x14ac:dyDescent="0.25">
      <c r="A782" s="130" t="s">
        <v>314</v>
      </c>
      <c r="B782" s="130">
        <v>5</v>
      </c>
      <c r="C782" s="131" t="e">
        <f>INDEX(#REF!,MATCH(B782,#REF!,MATCH(A782,#REF!,0)))</f>
        <v>#REF!</v>
      </c>
      <c r="D782" s="141">
        <v>782</v>
      </c>
    </row>
    <row r="783" spans="1:4" x14ac:dyDescent="0.25">
      <c r="A783" s="130" t="s">
        <v>314</v>
      </c>
      <c r="B783" s="130">
        <v>6</v>
      </c>
      <c r="C783" s="131" t="e">
        <f>INDEX(#REF!,MATCH(B783,#REF!,MATCH(A783,#REF!,0)))</f>
        <v>#REF!</v>
      </c>
      <c r="D783" s="141">
        <v>783</v>
      </c>
    </row>
    <row r="784" spans="1:4" x14ac:dyDescent="0.25">
      <c r="A784" s="130" t="s">
        <v>314</v>
      </c>
      <c r="B784" s="130">
        <v>7</v>
      </c>
      <c r="C784" s="131" t="e">
        <f>INDEX(#REF!,MATCH(B784,#REF!,MATCH(A784,#REF!,0)))</f>
        <v>#REF!</v>
      </c>
      <c r="D784" s="141">
        <v>784</v>
      </c>
    </row>
    <row r="785" spans="1:4" x14ac:dyDescent="0.25">
      <c r="A785" s="130" t="s">
        <v>314</v>
      </c>
      <c r="B785" s="130">
        <v>8</v>
      </c>
      <c r="C785" s="131" t="e">
        <f>INDEX(#REF!,MATCH(B785,#REF!,MATCH(A785,#REF!,0)))</f>
        <v>#REF!</v>
      </c>
      <c r="D785" s="141">
        <v>785</v>
      </c>
    </row>
    <row r="786" spans="1:4" x14ac:dyDescent="0.25">
      <c r="A786" s="130" t="s">
        <v>314</v>
      </c>
      <c r="B786" s="130">
        <v>9</v>
      </c>
      <c r="C786" s="131" t="e">
        <f>INDEX(#REF!,MATCH(B786,#REF!,MATCH(A786,#REF!,0)))</f>
        <v>#REF!</v>
      </c>
      <c r="D786" s="141">
        <v>786</v>
      </c>
    </row>
    <row r="787" spans="1:4" x14ac:dyDescent="0.25">
      <c r="A787" s="130" t="s">
        <v>314</v>
      </c>
      <c r="B787" s="130">
        <v>10</v>
      </c>
      <c r="C787" s="131" t="e">
        <f>INDEX(#REF!,MATCH(B787,#REF!,MATCH(A787,#REF!,0)))</f>
        <v>#REF!</v>
      </c>
      <c r="D787" s="141">
        <v>787</v>
      </c>
    </row>
    <row r="788" spans="1:4" x14ac:dyDescent="0.25">
      <c r="A788" s="130" t="s">
        <v>314</v>
      </c>
      <c r="B788" s="130">
        <v>11</v>
      </c>
      <c r="C788" s="131" t="e">
        <f>INDEX(#REF!,MATCH(B788,#REF!,MATCH(A788,#REF!,0)))</f>
        <v>#REF!</v>
      </c>
      <c r="D788" s="141">
        <v>788</v>
      </c>
    </row>
    <row r="789" spans="1:4" x14ac:dyDescent="0.25">
      <c r="A789" s="130" t="s">
        <v>314</v>
      </c>
      <c r="B789" s="130">
        <v>12</v>
      </c>
      <c r="C789" s="131" t="e">
        <f>INDEX(#REF!,MATCH(B789,#REF!,MATCH(A789,#REF!,0)))</f>
        <v>#REF!</v>
      </c>
      <c r="D789" s="141">
        <v>789</v>
      </c>
    </row>
    <row r="790" spans="1:4" x14ac:dyDescent="0.25">
      <c r="A790" s="130" t="s">
        <v>314</v>
      </c>
      <c r="B790" s="130">
        <v>13</v>
      </c>
      <c r="C790" s="131" t="e">
        <f>INDEX(#REF!,MATCH(B790,#REF!,MATCH(A790,#REF!,0)))</f>
        <v>#REF!</v>
      </c>
      <c r="D790" s="141">
        <v>790</v>
      </c>
    </row>
    <row r="791" spans="1:4" x14ac:dyDescent="0.25">
      <c r="A791" s="130" t="s">
        <v>314</v>
      </c>
      <c r="B791" s="130">
        <v>14</v>
      </c>
      <c r="C791" s="131" t="e">
        <f>INDEX(#REF!,MATCH(B791,#REF!,MATCH(A791,#REF!,0)))</f>
        <v>#REF!</v>
      </c>
      <c r="D791" s="141">
        <v>791</v>
      </c>
    </row>
    <row r="792" spans="1:4" x14ac:dyDescent="0.25">
      <c r="A792" s="130" t="s">
        <v>314</v>
      </c>
      <c r="B792" s="130">
        <v>15</v>
      </c>
      <c r="C792" s="131" t="e">
        <f>INDEX(#REF!,MATCH(B792,#REF!,MATCH(A792,#REF!,0)))</f>
        <v>#REF!</v>
      </c>
      <c r="D792" s="141">
        <v>792</v>
      </c>
    </row>
    <row r="793" spans="1:4" x14ac:dyDescent="0.25">
      <c r="A793" s="130" t="s">
        <v>314</v>
      </c>
      <c r="B793" s="130">
        <v>16</v>
      </c>
      <c r="C793" s="131" t="e">
        <f>INDEX(#REF!,MATCH(B793,#REF!,MATCH(A793,#REF!,0)))</f>
        <v>#REF!</v>
      </c>
      <c r="D793" s="141">
        <v>793</v>
      </c>
    </row>
    <row r="794" spans="1:4" x14ac:dyDescent="0.25">
      <c r="A794" s="130" t="s">
        <v>314</v>
      </c>
      <c r="B794" s="130">
        <v>17</v>
      </c>
      <c r="C794" s="131" t="e">
        <f>INDEX(#REF!,MATCH(B794,#REF!,MATCH(A794,#REF!,0)))</f>
        <v>#REF!</v>
      </c>
      <c r="D794" s="141">
        <v>794</v>
      </c>
    </row>
    <row r="795" spans="1:4" x14ac:dyDescent="0.25">
      <c r="A795" s="130" t="s">
        <v>314</v>
      </c>
      <c r="B795" s="130">
        <v>18</v>
      </c>
      <c r="C795" s="131" t="e">
        <f>INDEX(#REF!,MATCH(B795,#REF!,MATCH(A795,#REF!,0)))</f>
        <v>#REF!</v>
      </c>
      <c r="D795" s="141">
        <v>795</v>
      </c>
    </row>
    <row r="796" spans="1:4" x14ac:dyDescent="0.25">
      <c r="A796" s="130" t="s">
        <v>314</v>
      </c>
      <c r="B796" s="130">
        <v>19</v>
      </c>
      <c r="C796" s="131" t="e">
        <f>INDEX(#REF!,MATCH(B796,#REF!,MATCH(A796,#REF!,0)))</f>
        <v>#REF!</v>
      </c>
      <c r="D796" s="141">
        <v>796</v>
      </c>
    </row>
    <row r="797" spans="1:4" x14ac:dyDescent="0.25">
      <c r="A797" s="130" t="s">
        <v>314</v>
      </c>
      <c r="B797" s="130">
        <v>20</v>
      </c>
      <c r="C797" s="131" t="e">
        <f>INDEX(#REF!,MATCH(B797,#REF!,MATCH(A797,#REF!,0)))</f>
        <v>#REF!</v>
      </c>
      <c r="D797" s="141">
        <v>797</v>
      </c>
    </row>
    <row r="798" spans="1:4" x14ac:dyDescent="0.25">
      <c r="A798" s="130" t="s">
        <v>314</v>
      </c>
      <c r="B798" s="130">
        <v>21</v>
      </c>
      <c r="C798" s="131" t="e">
        <f>INDEX(#REF!,MATCH(B798,#REF!,MATCH(A798,#REF!,0)))</f>
        <v>#REF!</v>
      </c>
      <c r="D798" s="141">
        <v>798</v>
      </c>
    </row>
    <row r="799" spans="1:4" x14ac:dyDescent="0.25">
      <c r="A799" s="130" t="s">
        <v>314</v>
      </c>
      <c r="B799" s="130">
        <v>22</v>
      </c>
      <c r="C799" s="131" t="e">
        <f>INDEX(#REF!,MATCH(B799,#REF!,MATCH(A799,#REF!,0)))</f>
        <v>#REF!</v>
      </c>
      <c r="D799" s="141">
        <v>799</v>
      </c>
    </row>
    <row r="800" spans="1:4" x14ac:dyDescent="0.25">
      <c r="A800" s="130" t="s">
        <v>314</v>
      </c>
      <c r="B800" s="130">
        <v>23</v>
      </c>
      <c r="C800" s="131" t="e">
        <f>INDEX(#REF!,MATCH(B800,#REF!,MATCH(A800,#REF!,0)))</f>
        <v>#REF!</v>
      </c>
      <c r="D800" s="141">
        <v>800</v>
      </c>
    </row>
    <row r="801" spans="1:4" x14ac:dyDescent="0.25">
      <c r="A801" s="130" t="s">
        <v>314</v>
      </c>
      <c r="B801" s="130">
        <v>24</v>
      </c>
      <c r="C801" s="131" t="e">
        <f>INDEX(#REF!,MATCH(B801,#REF!,MATCH(A801,#REF!,0)))</f>
        <v>#REF!</v>
      </c>
      <c r="D801" s="141">
        <v>801</v>
      </c>
    </row>
    <row r="802" spans="1:4" x14ac:dyDescent="0.25">
      <c r="A802" s="130" t="s">
        <v>314</v>
      </c>
      <c r="B802" s="130">
        <v>25</v>
      </c>
      <c r="C802" s="131" t="e">
        <f>INDEX(#REF!,MATCH(B802,#REF!,MATCH(A802,#REF!,0)))</f>
        <v>#REF!</v>
      </c>
      <c r="D802" s="141">
        <v>802</v>
      </c>
    </row>
    <row r="803" spans="1:4" x14ac:dyDescent="0.25">
      <c r="A803" s="130" t="s">
        <v>314</v>
      </c>
      <c r="B803" s="130">
        <v>26</v>
      </c>
      <c r="C803" s="131" t="e">
        <f>INDEX(#REF!,MATCH(B803,#REF!,MATCH(A803,#REF!,0)))</f>
        <v>#REF!</v>
      </c>
      <c r="D803" s="141">
        <v>803</v>
      </c>
    </row>
    <row r="804" spans="1:4" x14ac:dyDescent="0.25">
      <c r="A804" s="130" t="s">
        <v>314</v>
      </c>
      <c r="B804" s="130">
        <v>27</v>
      </c>
      <c r="C804" s="131" t="e">
        <f>INDEX(#REF!,MATCH(B804,#REF!,MATCH(A804,#REF!,0)))</f>
        <v>#REF!</v>
      </c>
      <c r="D804" s="141">
        <v>804</v>
      </c>
    </row>
    <row r="805" spans="1:4" x14ac:dyDescent="0.25">
      <c r="A805" s="130" t="s">
        <v>314</v>
      </c>
      <c r="B805" s="130">
        <v>28</v>
      </c>
      <c r="C805" s="131" t="e">
        <f>INDEX(#REF!,MATCH(B805,#REF!,MATCH(A805,#REF!,0)))</f>
        <v>#REF!</v>
      </c>
      <c r="D805" s="141">
        <v>805</v>
      </c>
    </row>
    <row r="806" spans="1:4" x14ac:dyDescent="0.25">
      <c r="A806" s="130" t="s">
        <v>314</v>
      </c>
      <c r="B806" s="130">
        <v>29</v>
      </c>
      <c r="C806" s="131" t="e">
        <f>INDEX(#REF!,MATCH(B806,#REF!,MATCH(A806,#REF!,0)))</f>
        <v>#REF!</v>
      </c>
      <c r="D806" s="141">
        <v>806</v>
      </c>
    </row>
    <row r="807" spans="1:4" x14ac:dyDescent="0.25">
      <c r="A807" s="130" t="s">
        <v>314</v>
      </c>
      <c r="B807" s="130">
        <v>30</v>
      </c>
      <c r="C807" s="131" t="e">
        <f>INDEX(#REF!,MATCH(B807,#REF!,MATCH(A807,#REF!,0)))</f>
        <v>#REF!</v>
      </c>
      <c r="D807" s="141">
        <v>807</v>
      </c>
    </row>
    <row r="808" spans="1:4" x14ac:dyDescent="0.25">
      <c r="A808" s="130" t="s">
        <v>315</v>
      </c>
      <c r="B808" s="130">
        <v>0</v>
      </c>
      <c r="C808" s="131" t="e">
        <f>INDEX(#REF!,MATCH(B808,#REF!,MATCH(A808,#REF!,0)))</f>
        <v>#REF!</v>
      </c>
      <c r="D808" s="141">
        <v>808</v>
      </c>
    </row>
    <row r="809" spans="1:4" x14ac:dyDescent="0.25">
      <c r="A809" s="130" t="s">
        <v>315</v>
      </c>
      <c r="B809" s="130">
        <v>1</v>
      </c>
      <c r="C809" s="131" t="e">
        <f>INDEX(#REF!,MATCH(B809,#REF!,MATCH(A809,#REF!,0)))</f>
        <v>#REF!</v>
      </c>
      <c r="D809" s="141">
        <v>809</v>
      </c>
    </row>
    <row r="810" spans="1:4" x14ac:dyDescent="0.25">
      <c r="A810" s="130" t="s">
        <v>315</v>
      </c>
      <c r="B810" s="130">
        <v>2</v>
      </c>
      <c r="C810" s="131" t="e">
        <f>INDEX(#REF!,MATCH(B810,#REF!,MATCH(A810,#REF!,0)))</f>
        <v>#REF!</v>
      </c>
      <c r="D810" s="141">
        <v>810</v>
      </c>
    </row>
    <row r="811" spans="1:4" x14ac:dyDescent="0.25">
      <c r="A811" s="130" t="s">
        <v>315</v>
      </c>
      <c r="B811" s="130">
        <v>3</v>
      </c>
      <c r="C811" s="131" t="e">
        <f>INDEX(#REF!,MATCH(B811,#REF!,MATCH(A811,#REF!,0)))</f>
        <v>#REF!</v>
      </c>
      <c r="D811" s="141">
        <v>811</v>
      </c>
    </row>
    <row r="812" spans="1:4" x14ac:dyDescent="0.25">
      <c r="A812" s="130" t="s">
        <v>315</v>
      </c>
      <c r="B812" s="130">
        <v>4</v>
      </c>
      <c r="C812" s="131" t="e">
        <f>INDEX(#REF!,MATCH(B812,#REF!,MATCH(A812,#REF!,0)))</f>
        <v>#REF!</v>
      </c>
      <c r="D812" s="141">
        <v>812</v>
      </c>
    </row>
    <row r="813" spans="1:4" x14ac:dyDescent="0.25">
      <c r="A813" s="130" t="s">
        <v>315</v>
      </c>
      <c r="B813" s="130">
        <v>5</v>
      </c>
      <c r="C813" s="131" t="e">
        <f>INDEX(#REF!,MATCH(B813,#REF!,MATCH(A813,#REF!,0)))</f>
        <v>#REF!</v>
      </c>
      <c r="D813" s="141">
        <v>813</v>
      </c>
    </row>
    <row r="814" spans="1:4" x14ac:dyDescent="0.25">
      <c r="A814" s="130" t="s">
        <v>315</v>
      </c>
      <c r="B814" s="130">
        <v>6</v>
      </c>
      <c r="C814" s="131" t="e">
        <f>INDEX(#REF!,MATCH(B814,#REF!,MATCH(A814,#REF!,0)))</f>
        <v>#REF!</v>
      </c>
      <c r="D814" s="141">
        <v>814</v>
      </c>
    </row>
    <row r="815" spans="1:4" x14ac:dyDescent="0.25">
      <c r="A815" s="130" t="s">
        <v>315</v>
      </c>
      <c r="B815" s="130">
        <v>7</v>
      </c>
      <c r="C815" s="131" t="e">
        <f>INDEX(#REF!,MATCH(B815,#REF!,MATCH(A815,#REF!,0)))</f>
        <v>#REF!</v>
      </c>
      <c r="D815" s="141">
        <v>815</v>
      </c>
    </row>
    <row r="816" spans="1:4" x14ac:dyDescent="0.25">
      <c r="A816" s="130" t="s">
        <v>315</v>
      </c>
      <c r="B816" s="130">
        <v>8</v>
      </c>
      <c r="C816" s="131" t="e">
        <f>INDEX(#REF!,MATCH(B816,#REF!,MATCH(A816,#REF!,0)))</f>
        <v>#REF!</v>
      </c>
      <c r="D816" s="141">
        <v>816</v>
      </c>
    </row>
    <row r="817" spans="1:4" x14ac:dyDescent="0.25">
      <c r="A817" s="130" t="s">
        <v>315</v>
      </c>
      <c r="B817" s="130">
        <v>9</v>
      </c>
      <c r="C817" s="131" t="e">
        <f>INDEX(#REF!,MATCH(B817,#REF!,MATCH(A817,#REF!,0)))</f>
        <v>#REF!</v>
      </c>
      <c r="D817" s="141">
        <v>817</v>
      </c>
    </row>
    <row r="818" spans="1:4" x14ac:dyDescent="0.25">
      <c r="A818" s="130" t="s">
        <v>315</v>
      </c>
      <c r="B818" s="130">
        <v>10</v>
      </c>
      <c r="C818" s="131" t="e">
        <f>INDEX(#REF!,MATCH(B818,#REF!,MATCH(A818,#REF!,0)))</f>
        <v>#REF!</v>
      </c>
      <c r="D818" s="141">
        <v>818</v>
      </c>
    </row>
    <row r="819" spans="1:4" x14ac:dyDescent="0.25">
      <c r="A819" s="130" t="s">
        <v>315</v>
      </c>
      <c r="B819" s="130">
        <v>11</v>
      </c>
      <c r="C819" s="131" t="e">
        <f>INDEX(#REF!,MATCH(B819,#REF!,MATCH(A819,#REF!,0)))</f>
        <v>#REF!</v>
      </c>
      <c r="D819" s="141">
        <v>819</v>
      </c>
    </row>
    <row r="820" spans="1:4" x14ac:dyDescent="0.25">
      <c r="A820" s="130" t="s">
        <v>315</v>
      </c>
      <c r="B820" s="130">
        <v>12</v>
      </c>
      <c r="C820" s="131" t="e">
        <f>INDEX(#REF!,MATCH(B820,#REF!,MATCH(A820,#REF!,0)))</f>
        <v>#REF!</v>
      </c>
      <c r="D820" s="141">
        <v>820</v>
      </c>
    </row>
    <row r="821" spans="1:4" x14ac:dyDescent="0.25">
      <c r="A821" s="130" t="s">
        <v>315</v>
      </c>
      <c r="B821" s="130">
        <v>13</v>
      </c>
      <c r="C821" s="131" t="e">
        <f>INDEX(#REF!,MATCH(B821,#REF!,MATCH(A821,#REF!,0)))</f>
        <v>#REF!</v>
      </c>
      <c r="D821" s="141">
        <v>821</v>
      </c>
    </row>
    <row r="822" spans="1:4" x14ac:dyDescent="0.25">
      <c r="A822" s="130" t="s">
        <v>315</v>
      </c>
      <c r="B822" s="130">
        <v>14</v>
      </c>
      <c r="C822" s="131" t="e">
        <f>INDEX(#REF!,MATCH(B822,#REF!,MATCH(A822,#REF!,0)))</f>
        <v>#REF!</v>
      </c>
      <c r="D822" s="141">
        <v>822</v>
      </c>
    </row>
    <row r="823" spans="1:4" x14ac:dyDescent="0.25">
      <c r="A823" s="130" t="s">
        <v>315</v>
      </c>
      <c r="B823" s="130">
        <v>15</v>
      </c>
      <c r="C823" s="131" t="e">
        <f>INDEX(#REF!,MATCH(B823,#REF!,MATCH(A823,#REF!,0)))</f>
        <v>#REF!</v>
      </c>
      <c r="D823" s="141">
        <v>823</v>
      </c>
    </row>
    <row r="824" spans="1:4" x14ac:dyDescent="0.25">
      <c r="A824" s="130" t="s">
        <v>315</v>
      </c>
      <c r="B824" s="130">
        <v>16</v>
      </c>
      <c r="C824" s="131" t="e">
        <f>INDEX(#REF!,MATCH(B824,#REF!,MATCH(A824,#REF!,0)))</f>
        <v>#REF!</v>
      </c>
      <c r="D824" s="141">
        <v>824</v>
      </c>
    </row>
    <row r="825" spans="1:4" x14ac:dyDescent="0.25">
      <c r="A825" s="130" t="s">
        <v>315</v>
      </c>
      <c r="B825" s="130">
        <v>17</v>
      </c>
      <c r="C825" s="131" t="e">
        <f>INDEX(#REF!,MATCH(B825,#REF!,MATCH(A825,#REF!,0)))</f>
        <v>#REF!</v>
      </c>
      <c r="D825" s="141">
        <v>825</v>
      </c>
    </row>
    <row r="826" spans="1:4" x14ac:dyDescent="0.25">
      <c r="A826" s="130" t="s">
        <v>315</v>
      </c>
      <c r="B826" s="130">
        <v>18</v>
      </c>
      <c r="C826" s="131" t="e">
        <f>INDEX(#REF!,MATCH(B826,#REF!,MATCH(A826,#REF!,0)))</f>
        <v>#REF!</v>
      </c>
      <c r="D826" s="141">
        <v>826</v>
      </c>
    </row>
    <row r="827" spans="1:4" x14ac:dyDescent="0.25">
      <c r="A827" s="130" t="s">
        <v>315</v>
      </c>
      <c r="B827" s="130">
        <v>19</v>
      </c>
      <c r="C827" s="131" t="e">
        <f>INDEX(#REF!,MATCH(B827,#REF!,MATCH(A827,#REF!,0)))</f>
        <v>#REF!</v>
      </c>
      <c r="D827" s="141">
        <v>827</v>
      </c>
    </row>
    <row r="828" spans="1:4" x14ac:dyDescent="0.25">
      <c r="A828" s="130" t="s">
        <v>315</v>
      </c>
      <c r="B828" s="130">
        <v>20</v>
      </c>
      <c r="C828" s="131" t="e">
        <f>INDEX(#REF!,MATCH(B828,#REF!,MATCH(A828,#REF!,0)))</f>
        <v>#REF!</v>
      </c>
      <c r="D828" s="141">
        <v>828</v>
      </c>
    </row>
    <row r="829" spans="1:4" x14ac:dyDescent="0.25">
      <c r="A829" s="130" t="s">
        <v>315</v>
      </c>
      <c r="B829" s="130">
        <v>21</v>
      </c>
      <c r="C829" s="131" t="e">
        <f>INDEX(#REF!,MATCH(B829,#REF!,MATCH(A829,#REF!,0)))</f>
        <v>#REF!</v>
      </c>
      <c r="D829" s="141">
        <v>829</v>
      </c>
    </row>
    <row r="830" spans="1:4" x14ac:dyDescent="0.25">
      <c r="A830" s="130" t="s">
        <v>315</v>
      </c>
      <c r="B830" s="130">
        <v>22</v>
      </c>
      <c r="C830" s="131" t="e">
        <f>INDEX(#REF!,MATCH(B830,#REF!,MATCH(A830,#REF!,0)))</f>
        <v>#REF!</v>
      </c>
      <c r="D830" s="141">
        <v>830</v>
      </c>
    </row>
    <row r="831" spans="1:4" x14ac:dyDescent="0.25">
      <c r="A831" s="130" t="s">
        <v>315</v>
      </c>
      <c r="B831" s="130">
        <v>23</v>
      </c>
      <c r="C831" s="131" t="e">
        <f>INDEX(#REF!,MATCH(B831,#REF!,MATCH(A831,#REF!,0)))</f>
        <v>#REF!</v>
      </c>
      <c r="D831" s="141">
        <v>831</v>
      </c>
    </row>
    <row r="832" spans="1:4" x14ac:dyDescent="0.25">
      <c r="A832" s="130" t="s">
        <v>315</v>
      </c>
      <c r="B832" s="130">
        <v>24</v>
      </c>
      <c r="C832" s="131" t="e">
        <f>INDEX(#REF!,MATCH(B832,#REF!,MATCH(A832,#REF!,0)))</f>
        <v>#REF!</v>
      </c>
      <c r="D832" s="141">
        <v>832</v>
      </c>
    </row>
    <row r="833" spans="1:4" x14ac:dyDescent="0.25">
      <c r="A833" s="130" t="s">
        <v>315</v>
      </c>
      <c r="B833" s="130">
        <v>25</v>
      </c>
      <c r="C833" s="131" t="e">
        <f>INDEX(#REF!,MATCH(B833,#REF!,MATCH(A833,#REF!,0)))</f>
        <v>#REF!</v>
      </c>
      <c r="D833" s="141">
        <v>833</v>
      </c>
    </row>
    <row r="834" spans="1:4" x14ac:dyDescent="0.25">
      <c r="A834" s="130" t="s">
        <v>315</v>
      </c>
      <c r="B834" s="130">
        <v>26</v>
      </c>
      <c r="C834" s="131" t="e">
        <f>INDEX(#REF!,MATCH(B834,#REF!,MATCH(A834,#REF!,0)))</f>
        <v>#REF!</v>
      </c>
      <c r="D834" s="141">
        <v>834</v>
      </c>
    </row>
    <row r="835" spans="1:4" x14ac:dyDescent="0.25">
      <c r="A835" s="130" t="s">
        <v>315</v>
      </c>
      <c r="B835" s="130">
        <v>27</v>
      </c>
      <c r="C835" s="131" t="e">
        <f>INDEX(#REF!,MATCH(B835,#REF!,MATCH(A835,#REF!,0)))</f>
        <v>#REF!</v>
      </c>
      <c r="D835" s="141">
        <v>835</v>
      </c>
    </row>
    <row r="836" spans="1:4" x14ac:dyDescent="0.25">
      <c r="A836" s="130" t="s">
        <v>315</v>
      </c>
      <c r="B836" s="130">
        <v>28</v>
      </c>
      <c r="C836" s="131" t="e">
        <f>INDEX(#REF!,MATCH(B836,#REF!,MATCH(A836,#REF!,0)))</f>
        <v>#REF!</v>
      </c>
      <c r="D836" s="141">
        <v>836</v>
      </c>
    </row>
    <row r="837" spans="1:4" x14ac:dyDescent="0.25">
      <c r="A837" s="130" t="s">
        <v>315</v>
      </c>
      <c r="B837" s="130">
        <v>29</v>
      </c>
      <c r="C837" s="131" t="e">
        <f>INDEX(#REF!,MATCH(B837,#REF!,MATCH(A837,#REF!,0)))</f>
        <v>#REF!</v>
      </c>
      <c r="D837" s="141">
        <v>837</v>
      </c>
    </row>
    <row r="838" spans="1:4" x14ac:dyDescent="0.25">
      <c r="A838" s="130" t="s">
        <v>315</v>
      </c>
      <c r="B838" s="130">
        <v>30</v>
      </c>
      <c r="C838" s="131" t="e">
        <f>INDEX(#REF!,MATCH(B838,#REF!,MATCH(A838,#REF!,0)))</f>
        <v>#REF!</v>
      </c>
      <c r="D838" s="141">
        <v>838</v>
      </c>
    </row>
    <row r="839" spans="1:4" x14ac:dyDescent="0.25">
      <c r="A839" s="130" t="s">
        <v>333</v>
      </c>
      <c r="B839" s="130">
        <v>0</v>
      </c>
      <c r="C839" s="131" t="e">
        <f>INDEX(#REF!,MATCH(B839,#REF!,MATCH(A839,#REF!,0)))</f>
        <v>#REF!</v>
      </c>
      <c r="D839" s="141">
        <v>839</v>
      </c>
    </row>
    <row r="840" spans="1:4" x14ac:dyDescent="0.25">
      <c r="A840" s="130" t="s">
        <v>333</v>
      </c>
      <c r="B840" s="130">
        <v>1</v>
      </c>
      <c r="C840" s="131" t="e">
        <f>INDEX(#REF!,MATCH(B840,#REF!,MATCH(A840,#REF!,0)))</f>
        <v>#REF!</v>
      </c>
      <c r="D840" s="141">
        <v>840</v>
      </c>
    </row>
    <row r="841" spans="1:4" x14ac:dyDescent="0.25">
      <c r="A841" s="130" t="s">
        <v>333</v>
      </c>
      <c r="B841" s="130">
        <v>2</v>
      </c>
      <c r="C841" s="131" t="e">
        <f>INDEX(#REF!,MATCH(B841,#REF!,MATCH(A841,#REF!,0)))</f>
        <v>#REF!</v>
      </c>
      <c r="D841" s="141">
        <v>841</v>
      </c>
    </row>
    <row r="842" spans="1:4" x14ac:dyDescent="0.25">
      <c r="A842" s="130" t="s">
        <v>333</v>
      </c>
      <c r="B842" s="130">
        <v>3</v>
      </c>
      <c r="C842" s="131" t="e">
        <f>INDEX(#REF!,MATCH(B842,#REF!,MATCH(A842,#REF!,0)))</f>
        <v>#REF!</v>
      </c>
      <c r="D842" s="141">
        <v>842</v>
      </c>
    </row>
    <row r="843" spans="1:4" x14ac:dyDescent="0.25">
      <c r="A843" s="130" t="s">
        <v>333</v>
      </c>
      <c r="B843" s="130">
        <v>4</v>
      </c>
      <c r="C843" s="131" t="e">
        <f>INDEX(#REF!,MATCH(B843,#REF!,MATCH(A843,#REF!,0)))</f>
        <v>#REF!</v>
      </c>
      <c r="D843" s="141">
        <v>843</v>
      </c>
    </row>
    <row r="844" spans="1:4" x14ac:dyDescent="0.25">
      <c r="A844" s="130" t="s">
        <v>333</v>
      </c>
      <c r="B844" s="130">
        <v>5</v>
      </c>
      <c r="C844" s="131" t="e">
        <f>INDEX(#REF!,MATCH(B844,#REF!,MATCH(A844,#REF!,0)))</f>
        <v>#REF!</v>
      </c>
      <c r="D844" s="141">
        <v>844</v>
      </c>
    </row>
    <row r="845" spans="1:4" x14ac:dyDescent="0.25">
      <c r="A845" s="130" t="s">
        <v>333</v>
      </c>
      <c r="B845" s="130">
        <v>6</v>
      </c>
      <c r="C845" s="131" t="e">
        <f>INDEX(#REF!,MATCH(B845,#REF!,MATCH(A845,#REF!,0)))</f>
        <v>#REF!</v>
      </c>
      <c r="D845" s="141">
        <v>845</v>
      </c>
    </row>
    <row r="846" spans="1:4" x14ac:dyDescent="0.25">
      <c r="A846" s="130" t="s">
        <v>333</v>
      </c>
      <c r="B846" s="130">
        <v>7</v>
      </c>
      <c r="C846" s="131" t="e">
        <f>INDEX(#REF!,MATCH(B846,#REF!,MATCH(A846,#REF!,0)))</f>
        <v>#REF!</v>
      </c>
      <c r="D846" s="141">
        <v>846</v>
      </c>
    </row>
    <row r="847" spans="1:4" x14ac:dyDescent="0.25">
      <c r="A847" s="130" t="s">
        <v>333</v>
      </c>
      <c r="B847" s="130">
        <v>8</v>
      </c>
      <c r="C847" s="131" t="e">
        <f>INDEX(#REF!,MATCH(B847,#REF!,MATCH(A847,#REF!,0)))</f>
        <v>#REF!</v>
      </c>
      <c r="D847" s="141">
        <v>847</v>
      </c>
    </row>
    <row r="848" spans="1:4" x14ac:dyDescent="0.25">
      <c r="A848" s="130" t="s">
        <v>333</v>
      </c>
      <c r="B848" s="130">
        <v>9</v>
      </c>
      <c r="C848" s="131" t="e">
        <f>INDEX(#REF!,MATCH(B848,#REF!,MATCH(A848,#REF!,0)))</f>
        <v>#REF!</v>
      </c>
      <c r="D848" s="141">
        <v>848</v>
      </c>
    </row>
    <row r="849" spans="1:4" x14ac:dyDescent="0.25">
      <c r="A849" s="130" t="s">
        <v>333</v>
      </c>
      <c r="B849" s="130">
        <v>10</v>
      </c>
      <c r="C849" s="131" t="e">
        <f>INDEX(#REF!,MATCH(B849,#REF!,MATCH(A849,#REF!,0)))</f>
        <v>#REF!</v>
      </c>
      <c r="D849" s="141">
        <v>849</v>
      </c>
    </row>
    <row r="850" spans="1:4" x14ac:dyDescent="0.25">
      <c r="A850" s="130" t="s">
        <v>333</v>
      </c>
      <c r="B850" s="130">
        <v>11</v>
      </c>
      <c r="C850" s="131" t="e">
        <f>INDEX(#REF!,MATCH(B850,#REF!,MATCH(A850,#REF!,0)))</f>
        <v>#REF!</v>
      </c>
      <c r="D850" s="141">
        <v>850</v>
      </c>
    </row>
    <row r="851" spans="1:4" x14ac:dyDescent="0.25">
      <c r="A851" s="130" t="s">
        <v>333</v>
      </c>
      <c r="B851" s="130">
        <v>12</v>
      </c>
      <c r="C851" s="131" t="e">
        <f>INDEX(#REF!,MATCH(B851,#REF!,MATCH(A851,#REF!,0)))</f>
        <v>#REF!</v>
      </c>
      <c r="D851" s="141">
        <v>851</v>
      </c>
    </row>
    <row r="852" spans="1:4" x14ac:dyDescent="0.25">
      <c r="A852" s="130" t="s">
        <v>333</v>
      </c>
      <c r="B852" s="130">
        <v>13</v>
      </c>
      <c r="C852" s="131" t="e">
        <f>INDEX(#REF!,MATCH(B852,#REF!,MATCH(A852,#REF!,0)))</f>
        <v>#REF!</v>
      </c>
      <c r="D852" s="141">
        <v>852</v>
      </c>
    </row>
    <row r="853" spans="1:4" x14ac:dyDescent="0.25">
      <c r="A853" s="130" t="s">
        <v>333</v>
      </c>
      <c r="B853" s="130">
        <v>14</v>
      </c>
      <c r="C853" s="131" t="e">
        <f>INDEX(#REF!,MATCH(B853,#REF!,MATCH(A853,#REF!,0)))</f>
        <v>#REF!</v>
      </c>
      <c r="D853" s="141">
        <v>853</v>
      </c>
    </row>
    <row r="854" spans="1:4" x14ac:dyDescent="0.25">
      <c r="A854" s="130" t="s">
        <v>333</v>
      </c>
      <c r="B854" s="130">
        <v>15</v>
      </c>
      <c r="C854" s="131" t="e">
        <f>INDEX(#REF!,MATCH(B854,#REF!,MATCH(A854,#REF!,0)))</f>
        <v>#REF!</v>
      </c>
      <c r="D854" s="141">
        <v>854</v>
      </c>
    </row>
    <row r="855" spans="1:4" x14ac:dyDescent="0.25">
      <c r="A855" s="130" t="s">
        <v>333</v>
      </c>
      <c r="B855" s="130">
        <v>16</v>
      </c>
      <c r="C855" s="131" t="e">
        <f>INDEX(#REF!,MATCH(B855,#REF!,MATCH(A855,#REF!,0)))</f>
        <v>#REF!</v>
      </c>
      <c r="D855" s="141">
        <v>855</v>
      </c>
    </row>
    <row r="856" spans="1:4" x14ac:dyDescent="0.25">
      <c r="A856" s="130" t="s">
        <v>333</v>
      </c>
      <c r="B856" s="130">
        <v>17</v>
      </c>
      <c r="C856" s="131" t="e">
        <f>INDEX(#REF!,MATCH(B856,#REF!,MATCH(A856,#REF!,0)))</f>
        <v>#REF!</v>
      </c>
      <c r="D856" s="141">
        <v>856</v>
      </c>
    </row>
    <row r="857" spans="1:4" x14ac:dyDescent="0.25">
      <c r="A857" s="130" t="s">
        <v>333</v>
      </c>
      <c r="B857" s="130">
        <v>18</v>
      </c>
      <c r="C857" s="131" t="e">
        <f>INDEX(#REF!,MATCH(B857,#REF!,MATCH(A857,#REF!,0)))</f>
        <v>#REF!</v>
      </c>
      <c r="D857" s="141">
        <v>857</v>
      </c>
    </row>
    <row r="858" spans="1:4" x14ac:dyDescent="0.25">
      <c r="A858" s="130" t="s">
        <v>333</v>
      </c>
      <c r="B858" s="130">
        <v>19</v>
      </c>
      <c r="C858" s="131" t="e">
        <f>INDEX(#REF!,MATCH(B858,#REF!,MATCH(A858,#REF!,0)))</f>
        <v>#REF!</v>
      </c>
      <c r="D858" s="141">
        <v>858</v>
      </c>
    </row>
    <row r="859" spans="1:4" x14ac:dyDescent="0.25">
      <c r="A859" s="130" t="s">
        <v>333</v>
      </c>
      <c r="B859" s="130">
        <v>20</v>
      </c>
      <c r="C859" s="131" t="e">
        <f>INDEX(#REF!,MATCH(B859,#REF!,MATCH(A859,#REF!,0)))</f>
        <v>#REF!</v>
      </c>
      <c r="D859" s="141">
        <v>859</v>
      </c>
    </row>
    <row r="860" spans="1:4" x14ac:dyDescent="0.25">
      <c r="A860" s="130" t="s">
        <v>333</v>
      </c>
      <c r="B860" s="130">
        <v>21</v>
      </c>
      <c r="C860" s="131" t="e">
        <f>INDEX(#REF!,MATCH(B860,#REF!,MATCH(A860,#REF!,0)))</f>
        <v>#REF!</v>
      </c>
      <c r="D860" s="141">
        <v>860</v>
      </c>
    </row>
    <row r="861" spans="1:4" x14ac:dyDescent="0.25">
      <c r="A861" s="130" t="s">
        <v>333</v>
      </c>
      <c r="B861" s="130">
        <v>22</v>
      </c>
      <c r="C861" s="131" t="e">
        <f>INDEX(#REF!,MATCH(B861,#REF!,MATCH(A861,#REF!,0)))</f>
        <v>#REF!</v>
      </c>
      <c r="D861" s="141">
        <v>861</v>
      </c>
    </row>
    <row r="862" spans="1:4" x14ac:dyDescent="0.25">
      <c r="A862" s="130" t="s">
        <v>333</v>
      </c>
      <c r="B862" s="130">
        <v>23</v>
      </c>
      <c r="C862" s="131" t="e">
        <f>INDEX(#REF!,MATCH(B862,#REF!,MATCH(A862,#REF!,0)))</f>
        <v>#REF!</v>
      </c>
      <c r="D862" s="141">
        <v>862</v>
      </c>
    </row>
    <row r="863" spans="1:4" x14ac:dyDescent="0.25">
      <c r="A863" s="130" t="s">
        <v>333</v>
      </c>
      <c r="B863" s="130">
        <v>24</v>
      </c>
      <c r="C863" s="131" t="e">
        <f>INDEX(#REF!,MATCH(B863,#REF!,MATCH(A863,#REF!,0)))</f>
        <v>#REF!</v>
      </c>
      <c r="D863" s="141">
        <v>863</v>
      </c>
    </row>
    <row r="864" spans="1:4" x14ac:dyDescent="0.25">
      <c r="A864" s="130" t="s">
        <v>333</v>
      </c>
      <c r="B864" s="130">
        <v>25</v>
      </c>
      <c r="C864" s="131" t="e">
        <f>INDEX(#REF!,MATCH(B864,#REF!,MATCH(A864,#REF!,0)))</f>
        <v>#REF!</v>
      </c>
      <c r="D864" s="141">
        <v>864</v>
      </c>
    </row>
    <row r="865" spans="1:4" x14ac:dyDescent="0.25">
      <c r="A865" s="130" t="s">
        <v>333</v>
      </c>
      <c r="B865" s="130">
        <v>26</v>
      </c>
      <c r="C865" s="131" t="e">
        <f>INDEX(#REF!,MATCH(B865,#REF!,MATCH(A865,#REF!,0)))</f>
        <v>#REF!</v>
      </c>
      <c r="D865" s="141">
        <v>865</v>
      </c>
    </row>
    <row r="866" spans="1:4" x14ac:dyDescent="0.25">
      <c r="A866" s="130" t="s">
        <v>333</v>
      </c>
      <c r="B866" s="130">
        <v>27</v>
      </c>
      <c r="C866" s="131" t="e">
        <f>INDEX(#REF!,MATCH(B866,#REF!,MATCH(A866,#REF!,0)))</f>
        <v>#REF!</v>
      </c>
      <c r="D866" s="141">
        <v>866</v>
      </c>
    </row>
    <row r="867" spans="1:4" x14ac:dyDescent="0.25">
      <c r="A867" s="130" t="s">
        <v>333</v>
      </c>
      <c r="B867" s="130">
        <v>28</v>
      </c>
      <c r="C867" s="131" t="e">
        <f>INDEX(#REF!,MATCH(B867,#REF!,MATCH(A867,#REF!,0)))</f>
        <v>#REF!</v>
      </c>
      <c r="D867" s="141">
        <v>867</v>
      </c>
    </row>
    <row r="868" spans="1:4" x14ac:dyDescent="0.25">
      <c r="A868" s="130" t="s">
        <v>333</v>
      </c>
      <c r="B868" s="130">
        <v>29</v>
      </c>
      <c r="C868" s="131" t="e">
        <f>INDEX(#REF!,MATCH(B868,#REF!,MATCH(A868,#REF!,0)))</f>
        <v>#REF!</v>
      </c>
      <c r="D868" s="141">
        <v>868</v>
      </c>
    </row>
    <row r="869" spans="1:4" x14ac:dyDescent="0.25">
      <c r="A869" s="130" t="s">
        <v>333</v>
      </c>
      <c r="B869" s="130">
        <v>30</v>
      </c>
      <c r="C869" s="131" t="e">
        <f>INDEX(#REF!,MATCH(B869,#REF!,MATCH(A869,#REF!,0)))</f>
        <v>#REF!</v>
      </c>
      <c r="D869" s="141">
        <v>869</v>
      </c>
    </row>
    <row r="870" spans="1:4" x14ac:dyDescent="0.25">
      <c r="A870" s="130" t="s">
        <v>334</v>
      </c>
      <c r="B870" s="130">
        <v>0</v>
      </c>
      <c r="C870" s="131" t="e">
        <f>INDEX(#REF!,MATCH(B870,#REF!,MATCH(A870,#REF!,0)))</f>
        <v>#REF!</v>
      </c>
      <c r="D870" s="141">
        <v>870</v>
      </c>
    </row>
    <row r="871" spans="1:4" x14ac:dyDescent="0.25">
      <c r="A871" s="130" t="s">
        <v>334</v>
      </c>
      <c r="B871" s="130">
        <v>1</v>
      </c>
      <c r="C871" s="131" t="e">
        <f>INDEX(#REF!,MATCH(B871,#REF!,MATCH(A871,#REF!,0)))</f>
        <v>#REF!</v>
      </c>
      <c r="D871" s="141">
        <v>871</v>
      </c>
    </row>
    <row r="872" spans="1:4" x14ac:dyDescent="0.25">
      <c r="A872" s="130" t="s">
        <v>334</v>
      </c>
      <c r="B872" s="130">
        <v>2</v>
      </c>
      <c r="C872" s="131" t="e">
        <f>INDEX(#REF!,MATCH(B872,#REF!,MATCH(A872,#REF!,0)))</f>
        <v>#REF!</v>
      </c>
      <c r="D872" s="141">
        <v>872</v>
      </c>
    </row>
    <row r="873" spans="1:4" x14ac:dyDescent="0.25">
      <c r="A873" s="130" t="s">
        <v>334</v>
      </c>
      <c r="B873" s="130">
        <v>3</v>
      </c>
      <c r="C873" s="131" t="e">
        <f>INDEX(#REF!,MATCH(B873,#REF!,MATCH(A873,#REF!,0)))</f>
        <v>#REF!</v>
      </c>
      <c r="D873" s="141">
        <v>873</v>
      </c>
    </row>
    <row r="874" spans="1:4" x14ac:dyDescent="0.25">
      <c r="A874" s="130" t="s">
        <v>334</v>
      </c>
      <c r="B874" s="130">
        <v>4</v>
      </c>
      <c r="C874" s="131" t="e">
        <f>INDEX(#REF!,MATCH(B874,#REF!,MATCH(A874,#REF!,0)))</f>
        <v>#REF!</v>
      </c>
      <c r="D874" s="141">
        <v>874</v>
      </c>
    </row>
    <row r="875" spans="1:4" x14ac:dyDescent="0.25">
      <c r="A875" s="130" t="s">
        <v>334</v>
      </c>
      <c r="B875" s="130">
        <v>5</v>
      </c>
      <c r="C875" s="131" t="e">
        <f>INDEX(#REF!,MATCH(B875,#REF!,MATCH(A875,#REF!,0)))</f>
        <v>#REF!</v>
      </c>
      <c r="D875" s="141">
        <v>875</v>
      </c>
    </row>
    <row r="876" spans="1:4" x14ac:dyDescent="0.25">
      <c r="A876" s="130" t="s">
        <v>334</v>
      </c>
      <c r="B876" s="130">
        <v>6</v>
      </c>
      <c r="C876" s="131" t="e">
        <f>INDEX(#REF!,MATCH(B876,#REF!,MATCH(A876,#REF!,0)))</f>
        <v>#REF!</v>
      </c>
      <c r="D876" s="141">
        <v>876</v>
      </c>
    </row>
    <row r="877" spans="1:4" x14ac:dyDescent="0.25">
      <c r="A877" s="130" t="s">
        <v>334</v>
      </c>
      <c r="B877" s="130">
        <v>7</v>
      </c>
      <c r="C877" s="131" t="e">
        <f>INDEX(#REF!,MATCH(B877,#REF!,MATCH(A877,#REF!,0)))</f>
        <v>#REF!</v>
      </c>
      <c r="D877" s="141">
        <v>877</v>
      </c>
    </row>
    <row r="878" spans="1:4" x14ac:dyDescent="0.25">
      <c r="A878" s="130" t="s">
        <v>334</v>
      </c>
      <c r="B878" s="130">
        <v>8</v>
      </c>
      <c r="C878" s="131" t="e">
        <f>INDEX(#REF!,MATCH(B878,#REF!,MATCH(A878,#REF!,0)))</f>
        <v>#REF!</v>
      </c>
      <c r="D878" s="141">
        <v>878</v>
      </c>
    </row>
    <row r="879" spans="1:4" x14ac:dyDescent="0.25">
      <c r="A879" s="130" t="s">
        <v>334</v>
      </c>
      <c r="B879" s="130">
        <v>9</v>
      </c>
      <c r="C879" s="131" t="e">
        <f>INDEX(#REF!,MATCH(B879,#REF!,MATCH(A879,#REF!,0)))</f>
        <v>#REF!</v>
      </c>
      <c r="D879" s="141">
        <v>879</v>
      </c>
    </row>
    <row r="880" spans="1:4" x14ac:dyDescent="0.25">
      <c r="A880" s="130" t="s">
        <v>334</v>
      </c>
      <c r="B880" s="130">
        <v>10</v>
      </c>
      <c r="C880" s="131" t="e">
        <f>INDEX(#REF!,MATCH(B880,#REF!,MATCH(A880,#REF!,0)))</f>
        <v>#REF!</v>
      </c>
      <c r="D880" s="141">
        <v>880</v>
      </c>
    </row>
    <row r="881" spans="1:4" x14ac:dyDescent="0.25">
      <c r="A881" s="130" t="s">
        <v>334</v>
      </c>
      <c r="B881" s="130">
        <v>11</v>
      </c>
      <c r="C881" s="131" t="e">
        <f>INDEX(#REF!,MATCH(B881,#REF!,MATCH(A881,#REF!,0)))</f>
        <v>#REF!</v>
      </c>
      <c r="D881" s="141">
        <v>881</v>
      </c>
    </row>
    <row r="882" spans="1:4" x14ac:dyDescent="0.25">
      <c r="A882" s="130" t="s">
        <v>334</v>
      </c>
      <c r="B882" s="130">
        <v>12</v>
      </c>
      <c r="C882" s="131" t="e">
        <f>INDEX(#REF!,MATCH(B882,#REF!,MATCH(A882,#REF!,0)))</f>
        <v>#REF!</v>
      </c>
      <c r="D882" s="141">
        <v>882</v>
      </c>
    </row>
    <row r="883" spans="1:4" x14ac:dyDescent="0.25">
      <c r="A883" s="130" t="s">
        <v>334</v>
      </c>
      <c r="B883" s="130">
        <v>13</v>
      </c>
      <c r="C883" s="131" t="e">
        <f>INDEX(#REF!,MATCH(B883,#REF!,MATCH(A883,#REF!,0)))</f>
        <v>#REF!</v>
      </c>
      <c r="D883" s="141">
        <v>883</v>
      </c>
    </row>
    <row r="884" spans="1:4" x14ac:dyDescent="0.25">
      <c r="A884" s="130" t="s">
        <v>334</v>
      </c>
      <c r="B884" s="130">
        <v>14</v>
      </c>
      <c r="C884" s="131" t="e">
        <f>INDEX(#REF!,MATCH(B884,#REF!,MATCH(A884,#REF!,0)))</f>
        <v>#REF!</v>
      </c>
      <c r="D884" s="141">
        <v>884</v>
      </c>
    </row>
    <row r="885" spans="1:4" x14ac:dyDescent="0.25">
      <c r="A885" s="130" t="s">
        <v>334</v>
      </c>
      <c r="B885" s="130">
        <v>15</v>
      </c>
      <c r="C885" s="131" t="e">
        <f>INDEX(#REF!,MATCH(B885,#REF!,MATCH(A885,#REF!,0)))</f>
        <v>#REF!</v>
      </c>
      <c r="D885" s="141">
        <v>885</v>
      </c>
    </row>
    <row r="886" spans="1:4" x14ac:dyDescent="0.25">
      <c r="A886" s="130" t="s">
        <v>334</v>
      </c>
      <c r="B886" s="130">
        <v>16</v>
      </c>
      <c r="C886" s="131" t="e">
        <f>INDEX(#REF!,MATCH(B886,#REF!,MATCH(A886,#REF!,0)))</f>
        <v>#REF!</v>
      </c>
      <c r="D886" s="141">
        <v>886</v>
      </c>
    </row>
    <row r="887" spans="1:4" x14ac:dyDescent="0.25">
      <c r="A887" s="130" t="s">
        <v>334</v>
      </c>
      <c r="B887" s="130">
        <v>17</v>
      </c>
      <c r="C887" s="131" t="e">
        <f>INDEX(#REF!,MATCH(B887,#REF!,MATCH(A887,#REF!,0)))</f>
        <v>#REF!</v>
      </c>
      <c r="D887" s="141">
        <v>887</v>
      </c>
    </row>
    <row r="888" spans="1:4" x14ac:dyDescent="0.25">
      <c r="A888" s="130" t="s">
        <v>334</v>
      </c>
      <c r="B888" s="130">
        <v>18</v>
      </c>
      <c r="C888" s="131" t="e">
        <f>INDEX(#REF!,MATCH(B888,#REF!,MATCH(A888,#REF!,0)))</f>
        <v>#REF!</v>
      </c>
      <c r="D888" s="141">
        <v>888</v>
      </c>
    </row>
    <row r="889" spans="1:4" x14ac:dyDescent="0.25">
      <c r="A889" s="130" t="s">
        <v>334</v>
      </c>
      <c r="B889" s="130">
        <v>19</v>
      </c>
      <c r="C889" s="131" t="e">
        <f>INDEX(#REF!,MATCH(B889,#REF!,MATCH(A889,#REF!,0)))</f>
        <v>#REF!</v>
      </c>
      <c r="D889" s="141">
        <v>889</v>
      </c>
    </row>
    <row r="890" spans="1:4" x14ac:dyDescent="0.25">
      <c r="A890" s="130" t="s">
        <v>334</v>
      </c>
      <c r="B890" s="130">
        <v>20</v>
      </c>
      <c r="C890" s="131" t="e">
        <f>INDEX(#REF!,MATCH(B890,#REF!,MATCH(A890,#REF!,0)))</f>
        <v>#REF!</v>
      </c>
      <c r="D890" s="141">
        <v>890</v>
      </c>
    </row>
    <row r="891" spans="1:4" x14ac:dyDescent="0.25">
      <c r="A891" s="130" t="s">
        <v>334</v>
      </c>
      <c r="B891" s="130">
        <v>21</v>
      </c>
      <c r="C891" s="131" t="e">
        <f>INDEX(#REF!,MATCH(B891,#REF!,MATCH(A891,#REF!,0)))</f>
        <v>#REF!</v>
      </c>
      <c r="D891" s="141">
        <v>891</v>
      </c>
    </row>
    <row r="892" spans="1:4" x14ac:dyDescent="0.25">
      <c r="A892" s="130" t="s">
        <v>334</v>
      </c>
      <c r="B892" s="130">
        <v>22</v>
      </c>
      <c r="C892" s="131" t="e">
        <f>INDEX(#REF!,MATCH(B892,#REF!,MATCH(A892,#REF!,0)))</f>
        <v>#REF!</v>
      </c>
      <c r="D892" s="141">
        <v>892</v>
      </c>
    </row>
    <row r="893" spans="1:4" x14ac:dyDescent="0.25">
      <c r="A893" s="130" t="s">
        <v>334</v>
      </c>
      <c r="B893" s="130">
        <v>23</v>
      </c>
      <c r="C893" s="131" t="e">
        <f>INDEX(#REF!,MATCH(B893,#REF!,MATCH(A893,#REF!,0)))</f>
        <v>#REF!</v>
      </c>
      <c r="D893" s="141">
        <v>893</v>
      </c>
    </row>
    <row r="894" spans="1:4" x14ac:dyDescent="0.25">
      <c r="A894" s="130" t="s">
        <v>334</v>
      </c>
      <c r="B894" s="130">
        <v>24</v>
      </c>
      <c r="C894" s="131" t="e">
        <f>INDEX(#REF!,MATCH(B894,#REF!,MATCH(A894,#REF!,0)))</f>
        <v>#REF!</v>
      </c>
      <c r="D894" s="141">
        <v>894</v>
      </c>
    </row>
    <row r="895" spans="1:4" x14ac:dyDescent="0.25">
      <c r="A895" s="130" t="s">
        <v>334</v>
      </c>
      <c r="B895" s="130">
        <v>25</v>
      </c>
      <c r="C895" s="131" t="e">
        <f>INDEX(#REF!,MATCH(B895,#REF!,MATCH(A895,#REF!,0)))</f>
        <v>#REF!</v>
      </c>
      <c r="D895" s="141">
        <v>895</v>
      </c>
    </row>
    <row r="896" spans="1:4" x14ac:dyDescent="0.25">
      <c r="A896" s="130" t="s">
        <v>334</v>
      </c>
      <c r="B896" s="130">
        <v>26</v>
      </c>
      <c r="C896" s="131" t="e">
        <f>INDEX(#REF!,MATCH(B896,#REF!,MATCH(A896,#REF!,0)))</f>
        <v>#REF!</v>
      </c>
      <c r="D896" s="141">
        <v>896</v>
      </c>
    </row>
    <row r="897" spans="1:4" x14ac:dyDescent="0.25">
      <c r="A897" s="130" t="s">
        <v>334</v>
      </c>
      <c r="B897" s="130">
        <v>27</v>
      </c>
      <c r="C897" s="131" t="e">
        <f>INDEX(#REF!,MATCH(B897,#REF!,MATCH(A897,#REF!,0)))</f>
        <v>#REF!</v>
      </c>
      <c r="D897" s="141">
        <v>897</v>
      </c>
    </row>
    <row r="898" spans="1:4" x14ac:dyDescent="0.25">
      <c r="A898" s="130" t="s">
        <v>334</v>
      </c>
      <c r="B898" s="130">
        <v>28</v>
      </c>
      <c r="C898" s="131" t="e">
        <f>INDEX(#REF!,MATCH(B898,#REF!,MATCH(A898,#REF!,0)))</f>
        <v>#REF!</v>
      </c>
      <c r="D898" s="141">
        <v>898</v>
      </c>
    </row>
    <row r="899" spans="1:4" x14ac:dyDescent="0.25">
      <c r="A899" s="130" t="s">
        <v>334</v>
      </c>
      <c r="B899" s="130">
        <v>29</v>
      </c>
      <c r="C899" s="131" t="e">
        <f>INDEX(#REF!,MATCH(B899,#REF!,MATCH(A899,#REF!,0)))</f>
        <v>#REF!</v>
      </c>
      <c r="D899" s="141">
        <v>899</v>
      </c>
    </row>
    <row r="900" spans="1:4" x14ac:dyDescent="0.25">
      <c r="A900" s="130" t="s">
        <v>334</v>
      </c>
      <c r="B900" s="130">
        <v>30</v>
      </c>
      <c r="C900" s="131" t="e">
        <f>INDEX(#REF!,MATCH(B900,#REF!,MATCH(A900,#REF!,0)))</f>
        <v>#REF!</v>
      </c>
      <c r="D900" s="141">
        <v>900</v>
      </c>
    </row>
    <row r="901" spans="1:4" x14ac:dyDescent="0.25">
      <c r="A901" s="130" t="s">
        <v>335</v>
      </c>
      <c r="B901" s="130">
        <v>0</v>
      </c>
      <c r="C901" s="131" t="e">
        <f>INDEX(#REF!,MATCH(B901,#REF!,MATCH(A901,#REF!,0)))</f>
        <v>#REF!</v>
      </c>
      <c r="D901" s="141">
        <v>901</v>
      </c>
    </row>
    <row r="902" spans="1:4" x14ac:dyDescent="0.25">
      <c r="A902" s="130" t="s">
        <v>335</v>
      </c>
      <c r="B902" s="130">
        <v>1</v>
      </c>
      <c r="C902" s="131" t="e">
        <f>INDEX(#REF!,MATCH(B902,#REF!,MATCH(A902,#REF!,0)))</f>
        <v>#REF!</v>
      </c>
      <c r="D902" s="141">
        <v>902</v>
      </c>
    </row>
    <row r="903" spans="1:4" x14ac:dyDescent="0.25">
      <c r="A903" s="130" t="s">
        <v>335</v>
      </c>
      <c r="B903" s="130">
        <v>2</v>
      </c>
      <c r="C903" s="131" t="e">
        <f>INDEX(#REF!,MATCH(B903,#REF!,MATCH(A903,#REF!,0)))</f>
        <v>#REF!</v>
      </c>
      <c r="D903" s="141">
        <v>903</v>
      </c>
    </row>
    <row r="904" spans="1:4" x14ac:dyDescent="0.25">
      <c r="A904" s="130" t="s">
        <v>335</v>
      </c>
      <c r="B904" s="130">
        <v>3</v>
      </c>
      <c r="C904" s="131" t="e">
        <f>INDEX(#REF!,MATCH(B904,#REF!,MATCH(A904,#REF!,0)))</f>
        <v>#REF!</v>
      </c>
      <c r="D904" s="141">
        <v>904</v>
      </c>
    </row>
    <row r="905" spans="1:4" x14ac:dyDescent="0.25">
      <c r="A905" s="130" t="s">
        <v>335</v>
      </c>
      <c r="B905" s="130">
        <v>4</v>
      </c>
      <c r="C905" s="131" t="e">
        <f>INDEX(#REF!,MATCH(B905,#REF!,MATCH(A905,#REF!,0)))</f>
        <v>#REF!</v>
      </c>
      <c r="D905" s="141">
        <v>905</v>
      </c>
    </row>
    <row r="906" spans="1:4" x14ac:dyDescent="0.25">
      <c r="A906" s="130" t="s">
        <v>335</v>
      </c>
      <c r="B906" s="130">
        <v>5</v>
      </c>
      <c r="C906" s="131" t="e">
        <f>INDEX(#REF!,MATCH(B906,#REF!,MATCH(A906,#REF!,0)))</f>
        <v>#REF!</v>
      </c>
      <c r="D906" s="141">
        <v>906</v>
      </c>
    </row>
    <row r="907" spans="1:4" x14ac:dyDescent="0.25">
      <c r="A907" s="130" t="s">
        <v>335</v>
      </c>
      <c r="B907" s="130">
        <v>6</v>
      </c>
      <c r="C907" s="131" t="e">
        <f>INDEX(#REF!,MATCH(B907,#REF!,MATCH(A907,#REF!,0)))</f>
        <v>#REF!</v>
      </c>
      <c r="D907" s="141">
        <v>907</v>
      </c>
    </row>
    <row r="908" spans="1:4" x14ac:dyDescent="0.25">
      <c r="A908" s="130" t="s">
        <v>335</v>
      </c>
      <c r="B908" s="130">
        <v>7</v>
      </c>
      <c r="C908" s="131" t="e">
        <f>INDEX(#REF!,MATCH(B908,#REF!,MATCH(A908,#REF!,0)))</f>
        <v>#REF!</v>
      </c>
      <c r="D908" s="141">
        <v>908</v>
      </c>
    </row>
    <row r="909" spans="1:4" x14ac:dyDescent="0.25">
      <c r="A909" s="130" t="s">
        <v>335</v>
      </c>
      <c r="B909" s="130">
        <v>8</v>
      </c>
      <c r="C909" s="131" t="e">
        <f>INDEX(#REF!,MATCH(B909,#REF!,MATCH(A909,#REF!,0)))</f>
        <v>#REF!</v>
      </c>
      <c r="D909" s="141">
        <v>909</v>
      </c>
    </row>
    <row r="910" spans="1:4" x14ac:dyDescent="0.25">
      <c r="A910" s="130" t="s">
        <v>335</v>
      </c>
      <c r="B910" s="130">
        <v>9</v>
      </c>
      <c r="C910" s="131" t="e">
        <f>INDEX(#REF!,MATCH(B910,#REF!,MATCH(A910,#REF!,0)))</f>
        <v>#REF!</v>
      </c>
      <c r="D910" s="141">
        <v>910</v>
      </c>
    </row>
    <row r="911" spans="1:4" x14ac:dyDescent="0.25">
      <c r="A911" s="130" t="s">
        <v>335</v>
      </c>
      <c r="B911" s="130">
        <v>10</v>
      </c>
      <c r="C911" s="131" t="e">
        <f>INDEX(#REF!,MATCH(B911,#REF!,MATCH(A911,#REF!,0)))</f>
        <v>#REF!</v>
      </c>
      <c r="D911" s="141">
        <v>911</v>
      </c>
    </row>
    <row r="912" spans="1:4" x14ac:dyDescent="0.25">
      <c r="A912" s="130" t="s">
        <v>335</v>
      </c>
      <c r="B912" s="130">
        <v>11</v>
      </c>
      <c r="C912" s="131" t="e">
        <f>INDEX(#REF!,MATCH(B912,#REF!,MATCH(A912,#REF!,0)))</f>
        <v>#REF!</v>
      </c>
      <c r="D912" s="141">
        <v>912</v>
      </c>
    </row>
    <row r="913" spans="1:4" x14ac:dyDescent="0.25">
      <c r="A913" s="130" t="s">
        <v>335</v>
      </c>
      <c r="B913" s="130">
        <v>12</v>
      </c>
      <c r="C913" s="131" t="e">
        <f>INDEX(#REF!,MATCH(B913,#REF!,MATCH(A913,#REF!,0)))</f>
        <v>#REF!</v>
      </c>
      <c r="D913" s="141">
        <v>913</v>
      </c>
    </row>
    <row r="914" spans="1:4" x14ac:dyDescent="0.25">
      <c r="A914" s="130" t="s">
        <v>335</v>
      </c>
      <c r="B914" s="130">
        <v>13</v>
      </c>
      <c r="C914" s="131" t="e">
        <f>INDEX(#REF!,MATCH(B914,#REF!,MATCH(A914,#REF!,0)))</f>
        <v>#REF!</v>
      </c>
      <c r="D914" s="141">
        <v>914</v>
      </c>
    </row>
    <row r="915" spans="1:4" x14ac:dyDescent="0.25">
      <c r="A915" s="130" t="s">
        <v>335</v>
      </c>
      <c r="B915" s="130">
        <v>14</v>
      </c>
      <c r="C915" s="131" t="e">
        <f>INDEX(#REF!,MATCH(B915,#REF!,MATCH(A915,#REF!,0)))</f>
        <v>#REF!</v>
      </c>
      <c r="D915" s="141">
        <v>915</v>
      </c>
    </row>
    <row r="916" spans="1:4" x14ac:dyDescent="0.25">
      <c r="A916" s="130" t="s">
        <v>335</v>
      </c>
      <c r="B916" s="130">
        <v>15</v>
      </c>
      <c r="C916" s="131" t="e">
        <f>INDEX(#REF!,MATCH(B916,#REF!,MATCH(A916,#REF!,0)))</f>
        <v>#REF!</v>
      </c>
      <c r="D916" s="141">
        <v>916</v>
      </c>
    </row>
    <row r="917" spans="1:4" x14ac:dyDescent="0.25">
      <c r="A917" s="130" t="s">
        <v>335</v>
      </c>
      <c r="B917" s="130">
        <v>16</v>
      </c>
      <c r="C917" s="131" t="e">
        <f>INDEX(#REF!,MATCH(B917,#REF!,MATCH(A917,#REF!,0)))</f>
        <v>#REF!</v>
      </c>
      <c r="D917" s="141">
        <v>917</v>
      </c>
    </row>
    <row r="918" spans="1:4" x14ac:dyDescent="0.25">
      <c r="A918" s="130" t="s">
        <v>335</v>
      </c>
      <c r="B918" s="130">
        <v>17</v>
      </c>
      <c r="C918" s="131" t="e">
        <f>INDEX(#REF!,MATCH(B918,#REF!,MATCH(A918,#REF!,0)))</f>
        <v>#REF!</v>
      </c>
      <c r="D918" s="141">
        <v>918</v>
      </c>
    </row>
    <row r="919" spans="1:4" x14ac:dyDescent="0.25">
      <c r="A919" s="130" t="s">
        <v>335</v>
      </c>
      <c r="B919" s="130">
        <v>18</v>
      </c>
      <c r="C919" s="131" t="e">
        <f>INDEX(#REF!,MATCH(B919,#REF!,MATCH(A919,#REF!,0)))</f>
        <v>#REF!</v>
      </c>
      <c r="D919" s="141">
        <v>919</v>
      </c>
    </row>
    <row r="920" spans="1:4" x14ac:dyDescent="0.25">
      <c r="A920" s="130" t="s">
        <v>335</v>
      </c>
      <c r="B920" s="130">
        <v>19</v>
      </c>
      <c r="C920" s="131" t="e">
        <f>INDEX(#REF!,MATCH(B920,#REF!,MATCH(A920,#REF!,0)))</f>
        <v>#REF!</v>
      </c>
      <c r="D920" s="141">
        <v>920</v>
      </c>
    </row>
    <row r="921" spans="1:4" x14ac:dyDescent="0.25">
      <c r="A921" s="130" t="s">
        <v>335</v>
      </c>
      <c r="B921" s="130">
        <v>20</v>
      </c>
      <c r="C921" s="131" t="e">
        <f>INDEX(#REF!,MATCH(B921,#REF!,MATCH(A921,#REF!,0)))</f>
        <v>#REF!</v>
      </c>
      <c r="D921" s="141">
        <v>921</v>
      </c>
    </row>
    <row r="922" spans="1:4" x14ac:dyDescent="0.25">
      <c r="A922" s="130" t="s">
        <v>335</v>
      </c>
      <c r="B922" s="130">
        <v>21</v>
      </c>
      <c r="C922" s="131" t="e">
        <f>INDEX(#REF!,MATCH(B922,#REF!,MATCH(A922,#REF!,0)))</f>
        <v>#REF!</v>
      </c>
      <c r="D922" s="141">
        <v>922</v>
      </c>
    </row>
    <row r="923" spans="1:4" x14ac:dyDescent="0.25">
      <c r="A923" s="130" t="s">
        <v>335</v>
      </c>
      <c r="B923" s="130">
        <v>22</v>
      </c>
      <c r="C923" s="131" t="e">
        <f>INDEX(#REF!,MATCH(B923,#REF!,MATCH(A923,#REF!,0)))</f>
        <v>#REF!</v>
      </c>
      <c r="D923" s="141">
        <v>923</v>
      </c>
    </row>
    <row r="924" spans="1:4" x14ac:dyDescent="0.25">
      <c r="A924" s="130" t="s">
        <v>335</v>
      </c>
      <c r="B924" s="130">
        <v>23</v>
      </c>
      <c r="C924" s="131" t="e">
        <f>INDEX(#REF!,MATCH(B924,#REF!,MATCH(A924,#REF!,0)))</f>
        <v>#REF!</v>
      </c>
      <c r="D924" s="141">
        <v>924</v>
      </c>
    </row>
    <row r="925" spans="1:4" x14ac:dyDescent="0.25">
      <c r="A925" s="130" t="s">
        <v>335</v>
      </c>
      <c r="B925" s="130">
        <v>24</v>
      </c>
      <c r="C925" s="131" t="e">
        <f>INDEX(#REF!,MATCH(B925,#REF!,MATCH(A925,#REF!,0)))</f>
        <v>#REF!</v>
      </c>
      <c r="D925" s="141">
        <v>925</v>
      </c>
    </row>
    <row r="926" spans="1:4" x14ac:dyDescent="0.25">
      <c r="A926" s="130" t="s">
        <v>335</v>
      </c>
      <c r="B926" s="130">
        <v>25</v>
      </c>
      <c r="C926" s="131" t="e">
        <f>INDEX(#REF!,MATCH(B926,#REF!,MATCH(A926,#REF!,0)))</f>
        <v>#REF!</v>
      </c>
      <c r="D926" s="141">
        <v>926</v>
      </c>
    </row>
    <row r="927" spans="1:4" x14ac:dyDescent="0.25">
      <c r="A927" s="130" t="s">
        <v>335</v>
      </c>
      <c r="B927" s="130">
        <v>26</v>
      </c>
      <c r="C927" s="131" t="e">
        <f>INDEX(#REF!,MATCH(B927,#REF!,MATCH(A927,#REF!,0)))</f>
        <v>#REF!</v>
      </c>
      <c r="D927" s="141">
        <v>927</v>
      </c>
    </row>
    <row r="928" spans="1:4" x14ac:dyDescent="0.25">
      <c r="A928" s="130" t="s">
        <v>335</v>
      </c>
      <c r="B928" s="130">
        <v>27</v>
      </c>
      <c r="C928" s="131" t="e">
        <f>INDEX(#REF!,MATCH(B928,#REF!,MATCH(A928,#REF!,0)))</f>
        <v>#REF!</v>
      </c>
      <c r="D928" s="141">
        <v>928</v>
      </c>
    </row>
    <row r="929" spans="1:4" x14ac:dyDescent="0.25">
      <c r="A929" s="130" t="s">
        <v>335</v>
      </c>
      <c r="B929" s="130">
        <v>28</v>
      </c>
      <c r="C929" s="131" t="e">
        <f>INDEX(#REF!,MATCH(B929,#REF!,MATCH(A929,#REF!,0)))</f>
        <v>#REF!</v>
      </c>
      <c r="D929" s="141">
        <v>929</v>
      </c>
    </row>
    <row r="930" spans="1:4" x14ac:dyDescent="0.25">
      <c r="A930" s="130" t="s">
        <v>335</v>
      </c>
      <c r="B930" s="130">
        <v>29</v>
      </c>
      <c r="C930" s="131" t="e">
        <f>INDEX(#REF!,MATCH(B930,#REF!,MATCH(A930,#REF!,0)))</f>
        <v>#REF!</v>
      </c>
      <c r="D930" s="141">
        <v>930</v>
      </c>
    </row>
    <row r="931" spans="1:4" x14ac:dyDescent="0.25">
      <c r="A931" s="130" t="s">
        <v>335</v>
      </c>
      <c r="B931" s="130">
        <v>30</v>
      </c>
      <c r="C931" s="131" t="e">
        <f>INDEX(#REF!,MATCH(B931,#REF!,MATCH(A931,#REF!,0)))</f>
        <v>#REF!</v>
      </c>
      <c r="D931" s="141">
        <v>931</v>
      </c>
    </row>
    <row r="932" spans="1:4" x14ac:dyDescent="0.25">
      <c r="A932" s="130" t="s">
        <v>336</v>
      </c>
      <c r="B932" s="130">
        <v>0</v>
      </c>
      <c r="C932" s="131" t="e">
        <f>INDEX(#REF!,MATCH(B932,#REF!,MATCH(A932,#REF!,0)))</f>
        <v>#REF!</v>
      </c>
      <c r="D932" s="141">
        <v>932</v>
      </c>
    </row>
    <row r="933" spans="1:4" x14ac:dyDescent="0.25">
      <c r="A933" s="130" t="s">
        <v>336</v>
      </c>
      <c r="B933" s="130">
        <v>1</v>
      </c>
      <c r="C933" s="131" t="e">
        <f>INDEX(#REF!,MATCH(B933,#REF!,MATCH(A933,#REF!,0)))</f>
        <v>#REF!</v>
      </c>
      <c r="D933" s="141">
        <v>933</v>
      </c>
    </row>
    <row r="934" spans="1:4" x14ac:dyDescent="0.25">
      <c r="A934" s="130" t="s">
        <v>336</v>
      </c>
      <c r="B934" s="130">
        <v>2</v>
      </c>
      <c r="C934" s="131" t="e">
        <f>INDEX(#REF!,MATCH(B934,#REF!,MATCH(A934,#REF!,0)))</f>
        <v>#REF!</v>
      </c>
      <c r="D934" s="141">
        <v>934</v>
      </c>
    </row>
    <row r="935" spans="1:4" x14ac:dyDescent="0.25">
      <c r="A935" s="130" t="s">
        <v>336</v>
      </c>
      <c r="B935" s="130">
        <v>3</v>
      </c>
      <c r="C935" s="131" t="e">
        <f>INDEX(#REF!,MATCH(B935,#REF!,MATCH(A935,#REF!,0)))</f>
        <v>#REF!</v>
      </c>
      <c r="D935" s="141">
        <v>935</v>
      </c>
    </row>
    <row r="936" spans="1:4" x14ac:dyDescent="0.25">
      <c r="A936" s="130" t="s">
        <v>336</v>
      </c>
      <c r="B936" s="130">
        <v>4</v>
      </c>
      <c r="C936" s="131" t="e">
        <f>INDEX(#REF!,MATCH(B936,#REF!,MATCH(A936,#REF!,0)))</f>
        <v>#REF!</v>
      </c>
      <c r="D936" s="141">
        <v>936</v>
      </c>
    </row>
    <row r="937" spans="1:4" x14ac:dyDescent="0.25">
      <c r="A937" s="130" t="s">
        <v>336</v>
      </c>
      <c r="B937" s="130">
        <v>5</v>
      </c>
      <c r="C937" s="131" t="e">
        <f>INDEX(#REF!,MATCH(B937,#REF!,MATCH(A937,#REF!,0)))</f>
        <v>#REF!</v>
      </c>
      <c r="D937" s="141">
        <v>937</v>
      </c>
    </row>
    <row r="938" spans="1:4" x14ac:dyDescent="0.25">
      <c r="A938" s="130" t="s">
        <v>336</v>
      </c>
      <c r="B938" s="130">
        <v>6</v>
      </c>
      <c r="C938" s="131" t="e">
        <f>INDEX(#REF!,MATCH(B938,#REF!,MATCH(A938,#REF!,0)))</f>
        <v>#REF!</v>
      </c>
      <c r="D938" s="141">
        <v>938</v>
      </c>
    </row>
    <row r="939" spans="1:4" x14ac:dyDescent="0.25">
      <c r="A939" s="130" t="s">
        <v>336</v>
      </c>
      <c r="B939" s="130">
        <v>7</v>
      </c>
      <c r="C939" s="131" t="e">
        <f>INDEX(#REF!,MATCH(B939,#REF!,MATCH(A939,#REF!,0)))</f>
        <v>#REF!</v>
      </c>
      <c r="D939" s="141">
        <v>939</v>
      </c>
    </row>
    <row r="940" spans="1:4" x14ac:dyDescent="0.25">
      <c r="A940" s="130" t="s">
        <v>336</v>
      </c>
      <c r="B940" s="130">
        <v>8</v>
      </c>
      <c r="C940" s="131" t="e">
        <f>INDEX(#REF!,MATCH(B940,#REF!,MATCH(A940,#REF!,0)))</f>
        <v>#REF!</v>
      </c>
      <c r="D940" s="141">
        <v>940</v>
      </c>
    </row>
    <row r="941" spans="1:4" x14ac:dyDescent="0.25">
      <c r="A941" s="130" t="s">
        <v>336</v>
      </c>
      <c r="B941" s="130">
        <v>9</v>
      </c>
      <c r="C941" s="131" t="e">
        <f>INDEX(#REF!,MATCH(B941,#REF!,MATCH(A941,#REF!,0)))</f>
        <v>#REF!</v>
      </c>
      <c r="D941" s="141">
        <v>941</v>
      </c>
    </row>
    <row r="942" spans="1:4" x14ac:dyDescent="0.25">
      <c r="A942" s="130" t="s">
        <v>336</v>
      </c>
      <c r="B942" s="130">
        <v>10</v>
      </c>
      <c r="C942" s="131" t="e">
        <f>INDEX(#REF!,MATCH(B942,#REF!,MATCH(A942,#REF!,0)))</f>
        <v>#REF!</v>
      </c>
      <c r="D942" s="141">
        <v>942</v>
      </c>
    </row>
    <row r="943" spans="1:4" x14ac:dyDescent="0.25">
      <c r="A943" s="130" t="s">
        <v>336</v>
      </c>
      <c r="B943" s="130">
        <v>11</v>
      </c>
      <c r="C943" s="131" t="e">
        <f>INDEX(#REF!,MATCH(B943,#REF!,MATCH(A943,#REF!,0)))</f>
        <v>#REF!</v>
      </c>
      <c r="D943" s="141">
        <v>943</v>
      </c>
    </row>
    <row r="944" spans="1:4" x14ac:dyDescent="0.25">
      <c r="A944" s="130" t="s">
        <v>336</v>
      </c>
      <c r="B944" s="130">
        <v>12</v>
      </c>
      <c r="C944" s="131" t="e">
        <f>INDEX(#REF!,MATCH(B944,#REF!,MATCH(A944,#REF!,0)))</f>
        <v>#REF!</v>
      </c>
      <c r="D944" s="141">
        <v>944</v>
      </c>
    </row>
    <row r="945" spans="1:4" x14ac:dyDescent="0.25">
      <c r="A945" s="130" t="s">
        <v>336</v>
      </c>
      <c r="B945" s="130">
        <v>13</v>
      </c>
      <c r="C945" s="131" t="e">
        <f>INDEX(#REF!,MATCH(B945,#REF!,MATCH(A945,#REF!,0)))</f>
        <v>#REF!</v>
      </c>
      <c r="D945" s="141">
        <v>945</v>
      </c>
    </row>
    <row r="946" spans="1:4" x14ac:dyDescent="0.25">
      <c r="A946" s="130" t="s">
        <v>336</v>
      </c>
      <c r="B946" s="130">
        <v>14</v>
      </c>
      <c r="C946" s="131" t="e">
        <f>INDEX(#REF!,MATCH(B946,#REF!,MATCH(A946,#REF!,0)))</f>
        <v>#REF!</v>
      </c>
      <c r="D946" s="141">
        <v>946</v>
      </c>
    </row>
    <row r="947" spans="1:4" x14ac:dyDescent="0.25">
      <c r="A947" s="130" t="s">
        <v>336</v>
      </c>
      <c r="B947" s="130">
        <v>15</v>
      </c>
      <c r="C947" s="131" t="e">
        <f>INDEX(#REF!,MATCH(B947,#REF!,MATCH(A947,#REF!,0)))</f>
        <v>#REF!</v>
      </c>
      <c r="D947" s="141">
        <v>947</v>
      </c>
    </row>
    <row r="948" spans="1:4" x14ac:dyDescent="0.25">
      <c r="A948" s="130" t="s">
        <v>336</v>
      </c>
      <c r="B948" s="130">
        <v>16</v>
      </c>
      <c r="C948" s="131" t="e">
        <f>INDEX(#REF!,MATCH(B948,#REF!,MATCH(A948,#REF!,0)))</f>
        <v>#REF!</v>
      </c>
      <c r="D948" s="141">
        <v>948</v>
      </c>
    </row>
    <row r="949" spans="1:4" x14ac:dyDescent="0.25">
      <c r="A949" s="130" t="s">
        <v>336</v>
      </c>
      <c r="B949" s="130">
        <v>17</v>
      </c>
      <c r="C949" s="131" t="e">
        <f>INDEX(#REF!,MATCH(B949,#REF!,MATCH(A949,#REF!,0)))</f>
        <v>#REF!</v>
      </c>
      <c r="D949" s="141">
        <v>949</v>
      </c>
    </row>
    <row r="950" spans="1:4" x14ac:dyDescent="0.25">
      <c r="A950" s="130" t="s">
        <v>336</v>
      </c>
      <c r="B950" s="130">
        <v>18</v>
      </c>
      <c r="C950" s="131" t="e">
        <f>INDEX(#REF!,MATCH(B950,#REF!,MATCH(A950,#REF!,0)))</f>
        <v>#REF!</v>
      </c>
      <c r="D950" s="141">
        <v>950</v>
      </c>
    </row>
    <row r="951" spans="1:4" x14ac:dyDescent="0.25">
      <c r="A951" s="130" t="s">
        <v>336</v>
      </c>
      <c r="B951" s="130">
        <v>19</v>
      </c>
      <c r="C951" s="131" t="e">
        <f>INDEX(#REF!,MATCH(B951,#REF!,MATCH(A951,#REF!,0)))</f>
        <v>#REF!</v>
      </c>
      <c r="D951" s="141">
        <v>951</v>
      </c>
    </row>
    <row r="952" spans="1:4" x14ac:dyDescent="0.25">
      <c r="A952" s="130" t="s">
        <v>336</v>
      </c>
      <c r="B952" s="130">
        <v>20</v>
      </c>
      <c r="C952" s="131" t="e">
        <f>INDEX(#REF!,MATCH(B952,#REF!,MATCH(A952,#REF!,0)))</f>
        <v>#REF!</v>
      </c>
      <c r="D952" s="141">
        <v>952</v>
      </c>
    </row>
    <row r="953" spans="1:4" x14ac:dyDescent="0.25">
      <c r="A953" s="130" t="s">
        <v>336</v>
      </c>
      <c r="B953" s="130">
        <v>21</v>
      </c>
      <c r="C953" s="131" t="e">
        <f>INDEX(#REF!,MATCH(B953,#REF!,MATCH(A953,#REF!,0)))</f>
        <v>#REF!</v>
      </c>
      <c r="D953" s="141">
        <v>953</v>
      </c>
    </row>
    <row r="954" spans="1:4" x14ac:dyDescent="0.25">
      <c r="A954" s="130" t="s">
        <v>336</v>
      </c>
      <c r="B954" s="130">
        <v>22</v>
      </c>
      <c r="C954" s="131" t="e">
        <f>INDEX(#REF!,MATCH(B954,#REF!,MATCH(A954,#REF!,0)))</f>
        <v>#REF!</v>
      </c>
      <c r="D954" s="141">
        <v>954</v>
      </c>
    </row>
    <row r="955" spans="1:4" x14ac:dyDescent="0.25">
      <c r="A955" s="130" t="s">
        <v>336</v>
      </c>
      <c r="B955" s="130">
        <v>23</v>
      </c>
      <c r="C955" s="131" t="e">
        <f>INDEX(#REF!,MATCH(B955,#REF!,MATCH(A955,#REF!,0)))</f>
        <v>#REF!</v>
      </c>
      <c r="D955" s="141">
        <v>955</v>
      </c>
    </row>
    <row r="956" spans="1:4" x14ac:dyDescent="0.25">
      <c r="A956" s="130" t="s">
        <v>336</v>
      </c>
      <c r="B956" s="130">
        <v>24</v>
      </c>
      <c r="C956" s="131" t="e">
        <f>INDEX(#REF!,MATCH(B956,#REF!,MATCH(A956,#REF!,0)))</f>
        <v>#REF!</v>
      </c>
      <c r="D956" s="141">
        <v>956</v>
      </c>
    </row>
    <row r="957" spans="1:4" x14ac:dyDescent="0.25">
      <c r="A957" s="130" t="s">
        <v>336</v>
      </c>
      <c r="B957" s="130">
        <v>25</v>
      </c>
      <c r="C957" s="131" t="e">
        <f>INDEX(#REF!,MATCH(B957,#REF!,MATCH(A957,#REF!,0)))</f>
        <v>#REF!</v>
      </c>
      <c r="D957" s="141">
        <v>957</v>
      </c>
    </row>
    <row r="958" spans="1:4" x14ac:dyDescent="0.25">
      <c r="A958" s="130" t="s">
        <v>336</v>
      </c>
      <c r="B958" s="130">
        <v>26</v>
      </c>
      <c r="C958" s="131" t="e">
        <f>INDEX(#REF!,MATCH(B958,#REF!,MATCH(A958,#REF!,0)))</f>
        <v>#REF!</v>
      </c>
      <c r="D958" s="141">
        <v>958</v>
      </c>
    </row>
    <row r="959" spans="1:4" x14ac:dyDescent="0.25">
      <c r="A959" s="130" t="s">
        <v>336</v>
      </c>
      <c r="B959" s="130">
        <v>27</v>
      </c>
      <c r="C959" s="131" t="e">
        <f>INDEX(#REF!,MATCH(B959,#REF!,MATCH(A959,#REF!,0)))</f>
        <v>#REF!</v>
      </c>
      <c r="D959" s="141">
        <v>959</v>
      </c>
    </row>
    <row r="960" spans="1:4" x14ac:dyDescent="0.25">
      <c r="A960" s="130" t="s">
        <v>336</v>
      </c>
      <c r="B960" s="130">
        <v>28</v>
      </c>
      <c r="C960" s="131" t="e">
        <f>INDEX(#REF!,MATCH(B960,#REF!,MATCH(A960,#REF!,0)))</f>
        <v>#REF!</v>
      </c>
      <c r="D960" s="141">
        <v>960</v>
      </c>
    </row>
    <row r="961" spans="1:4" x14ac:dyDescent="0.25">
      <c r="A961" s="130" t="s">
        <v>336</v>
      </c>
      <c r="B961" s="130">
        <v>29</v>
      </c>
      <c r="C961" s="131" t="e">
        <f>INDEX(#REF!,MATCH(B961,#REF!,MATCH(A961,#REF!,0)))</f>
        <v>#REF!</v>
      </c>
      <c r="D961" s="141">
        <v>961</v>
      </c>
    </row>
    <row r="962" spans="1:4" x14ac:dyDescent="0.25">
      <c r="A962" s="130" t="s">
        <v>336</v>
      </c>
      <c r="B962" s="130">
        <v>30</v>
      </c>
      <c r="C962" s="131" t="e">
        <f>INDEX(#REF!,MATCH(B962,#REF!,MATCH(A962,#REF!,0)))</f>
        <v>#REF!</v>
      </c>
      <c r="D962" s="141">
        <v>962</v>
      </c>
    </row>
  </sheetData>
  <sortState ref="F10:F12">
    <sortCondition ref="F10:F12"/>
  </sortState>
  <phoneticPr fontId="1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152"/>
  <sheetViews>
    <sheetView workbookViewId="0"/>
  </sheetViews>
  <sheetFormatPr defaultRowHeight="15" x14ac:dyDescent="0.25"/>
  <cols>
    <col min="1" max="1" width="18.42578125" bestFit="1" customWidth="1"/>
    <col min="2" max="2" width="25.5703125" bestFit="1" customWidth="1"/>
    <col min="3" max="3" width="25.85546875" bestFit="1" customWidth="1"/>
    <col min="4" max="4" width="28" customWidth="1"/>
    <col min="5" max="7" width="34.7109375" bestFit="1" customWidth="1"/>
    <col min="8" max="9" width="28" bestFit="1" customWidth="1"/>
    <col min="10" max="10" width="16.85546875" bestFit="1" customWidth="1"/>
    <col min="12" max="12" width="13.42578125" customWidth="1"/>
  </cols>
  <sheetData>
    <row r="2" spans="1:12" x14ac:dyDescent="0.25">
      <c r="F2" t="s">
        <v>261</v>
      </c>
      <c r="G2" t="s">
        <v>293</v>
      </c>
      <c r="H2" t="s">
        <v>294</v>
      </c>
    </row>
    <row r="3" spans="1:12" x14ac:dyDescent="0.25">
      <c r="A3" s="20" t="s">
        <v>272</v>
      </c>
      <c r="B3" t="s">
        <v>273</v>
      </c>
      <c r="C3" t="s">
        <v>274</v>
      </c>
      <c r="D3" t="s">
        <v>277</v>
      </c>
      <c r="F3" t="s">
        <v>27</v>
      </c>
      <c r="G3" s="1">
        <v>44862.5</v>
      </c>
      <c r="H3" s="1">
        <v>60247.1</v>
      </c>
      <c r="I3">
        <f>(H3-G3)/G3</f>
        <v>0.34292783505154634</v>
      </c>
    </row>
    <row r="4" spans="1:12" x14ac:dyDescent="0.25">
      <c r="A4" s="21" t="s">
        <v>27</v>
      </c>
      <c r="B4" s="1">
        <v>44862.5</v>
      </c>
      <c r="C4" s="1">
        <v>60247.1</v>
      </c>
      <c r="D4" s="23">
        <v>1</v>
      </c>
      <c r="F4" t="s">
        <v>122</v>
      </c>
      <c r="G4" s="1">
        <v>48500</v>
      </c>
      <c r="H4" s="1">
        <v>65132</v>
      </c>
      <c r="I4">
        <f t="shared" ref="I4:I8" si="0">(H4-G4)/G4</f>
        <v>0.34292783505154639</v>
      </c>
    </row>
    <row r="5" spans="1:12" x14ac:dyDescent="0.25">
      <c r="A5" s="21" t="s">
        <v>67</v>
      </c>
      <c r="B5" s="1">
        <v>52137.5</v>
      </c>
      <c r="C5" s="1">
        <v>70016.899999999994</v>
      </c>
      <c r="D5" s="23">
        <v>2</v>
      </c>
      <c r="F5" t="s">
        <v>67</v>
      </c>
      <c r="G5" s="1">
        <v>52137.5</v>
      </c>
      <c r="H5" s="1">
        <v>70016.899999999994</v>
      </c>
      <c r="I5">
        <f t="shared" si="0"/>
        <v>0.34292783505154628</v>
      </c>
    </row>
    <row r="6" spans="1:12" x14ac:dyDescent="0.25">
      <c r="A6" s="21" t="s">
        <v>123</v>
      </c>
      <c r="B6" s="1">
        <v>72151</v>
      </c>
      <c r="C6" s="1">
        <v>99521</v>
      </c>
      <c r="D6" s="23">
        <v>16</v>
      </c>
      <c r="F6" t="s">
        <v>58</v>
      </c>
      <c r="G6" s="1">
        <v>68122</v>
      </c>
      <c r="H6" s="1">
        <v>90396</v>
      </c>
      <c r="I6">
        <f t="shared" si="0"/>
        <v>0.32697219694078272</v>
      </c>
    </row>
    <row r="7" spans="1:12" x14ac:dyDescent="0.25">
      <c r="A7" s="21" t="s">
        <v>48</v>
      </c>
      <c r="B7" s="1">
        <v>70472</v>
      </c>
      <c r="C7" s="1">
        <v>98216</v>
      </c>
      <c r="D7" s="23">
        <v>5</v>
      </c>
      <c r="F7" t="s">
        <v>48</v>
      </c>
      <c r="G7" s="1">
        <v>70472</v>
      </c>
      <c r="H7" s="1">
        <v>98216</v>
      </c>
      <c r="I7">
        <f t="shared" si="0"/>
        <v>0.39368827335679418</v>
      </c>
    </row>
    <row r="8" spans="1:12" x14ac:dyDescent="0.25">
      <c r="A8" s="21" t="s">
        <v>58</v>
      </c>
      <c r="B8" s="1">
        <v>68122</v>
      </c>
      <c r="C8" s="1">
        <v>90396</v>
      </c>
      <c r="D8" s="23">
        <v>6</v>
      </c>
      <c r="F8" t="s">
        <v>123</v>
      </c>
      <c r="G8" s="1">
        <v>72151</v>
      </c>
      <c r="H8" s="1">
        <v>99521</v>
      </c>
      <c r="I8">
        <f t="shared" si="0"/>
        <v>0.37934332164488366</v>
      </c>
    </row>
    <row r="9" spans="1:12" x14ac:dyDescent="0.25">
      <c r="A9" s="21" t="s">
        <v>122</v>
      </c>
      <c r="B9" s="1">
        <v>48500</v>
      </c>
      <c r="C9" s="1">
        <v>65132</v>
      </c>
      <c r="D9" s="23">
        <v>628</v>
      </c>
      <c r="I9" t="e">
        <f>acer</f>
        <v>#NAME?</v>
      </c>
    </row>
    <row r="10" spans="1:12" x14ac:dyDescent="0.25">
      <c r="A10" s="21" t="s">
        <v>275</v>
      </c>
      <c r="B10" s="1"/>
      <c r="C10" s="1"/>
      <c r="D10" s="23"/>
    </row>
    <row r="11" spans="1:12" x14ac:dyDescent="0.25">
      <c r="A11" s="21" t="s">
        <v>271</v>
      </c>
      <c r="B11" s="22">
        <v>49426.512917933134</v>
      </c>
      <c r="C11" s="22">
        <v>66457.399544072949</v>
      </c>
      <c r="D11" s="22">
        <v>658</v>
      </c>
    </row>
    <row r="12" spans="1:12" ht="15.75" thickBot="1" x14ac:dyDescent="0.3"/>
    <row r="13" spans="1:12" x14ac:dyDescent="0.25">
      <c r="A13" s="24" t="s">
        <v>276</v>
      </c>
      <c r="B13" s="49" t="s">
        <v>278</v>
      </c>
      <c r="C13" s="25" t="s">
        <v>3</v>
      </c>
      <c r="D13" s="31" t="s">
        <v>287</v>
      </c>
      <c r="E13" s="31" t="s">
        <v>273</v>
      </c>
      <c r="F13" s="31" t="s">
        <v>281</v>
      </c>
      <c r="G13" s="29" t="s">
        <v>282</v>
      </c>
      <c r="H13" s="28" t="s">
        <v>274</v>
      </c>
      <c r="I13" s="31" t="s">
        <v>280</v>
      </c>
      <c r="J13" s="29" t="s">
        <v>283</v>
      </c>
      <c r="L13" s="53" t="s">
        <v>262</v>
      </c>
    </row>
    <row r="14" spans="1:12" x14ac:dyDescent="0.25">
      <c r="A14" s="2" t="s">
        <v>27</v>
      </c>
      <c r="B14" s="2" t="e">
        <f>INDEX(#REF!,MATCH(A14,#REF!,0))</f>
        <v>#REF!</v>
      </c>
      <c r="C14" s="52"/>
      <c r="D14" s="4" t="e">
        <f>AVERAGEIF(#REF!,A14,#REF!)</f>
        <v>#REF!</v>
      </c>
      <c r="E14" s="4" t="e">
        <f t="shared" ref="E14:E44" si="1">INDEX($B$4:$B$10,MATCH(B14,$A$4:$A$10,0))</f>
        <v>#REF!</v>
      </c>
      <c r="F14" s="4" t="str">
        <f>IFERROR(INDEX('Market Results'!$B:$B,MATCH(B14,'Market Results'!A:A,0)),"-")</f>
        <v>-</v>
      </c>
      <c r="G14" s="43" t="str">
        <f t="shared" ref="G14:G44" si="2">IFERROR((E14-F14)/E14,"-")</f>
        <v>-</v>
      </c>
      <c r="H14" s="4" t="e">
        <f t="shared" ref="H14:H44" si="3">INDEX($C$4:$C$10,MATCH(B14,$A$4:$A$10,0))</f>
        <v>#REF!</v>
      </c>
      <c r="I14" s="4" t="str">
        <f>IFERROR(INDEX('Market Results'!$F:$F,MATCH(A14,'Market Results'!A:A,0)),"-")</f>
        <v>-</v>
      </c>
      <c r="J14" s="44" t="str">
        <f t="shared" ref="J14:J44" si="4">IFERROR((H14-I14)/H14,"-")</f>
        <v>-</v>
      </c>
      <c r="L14" s="60" t="str">
        <f t="shared" ref="L14:L77" si="5">IFERROR((H14-E14)/E14,"-")</f>
        <v>-</v>
      </c>
    </row>
    <row r="15" spans="1:12" ht="15.75" thickBot="1" x14ac:dyDescent="0.3">
      <c r="A15" s="2" t="s">
        <v>43</v>
      </c>
      <c r="B15" s="2" t="e">
        <f>INDEX(#REF!,MATCH(A15,#REF!,0))</f>
        <v>#REF!</v>
      </c>
      <c r="C15" s="52"/>
      <c r="D15" s="4" t="e">
        <f>AVERAGEIF(#REF!,A15,#REF!)</f>
        <v>#REF!</v>
      </c>
      <c r="E15" s="4" t="e">
        <f t="shared" si="1"/>
        <v>#REF!</v>
      </c>
      <c r="F15" s="4" t="str">
        <f>IFERROR(INDEX('Market Results'!$B:$B,MATCH(B15,'Market Results'!A:A,0)),"-")</f>
        <v>-</v>
      </c>
      <c r="G15" s="43" t="str">
        <f t="shared" si="2"/>
        <v>-</v>
      </c>
      <c r="H15" s="4" t="e">
        <f t="shared" si="3"/>
        <v>#REF!</v>
      </c>
      <c r="I15" s="4" t="str">
        <f>IFERROR(INDEX('Market Results'!$F:$F,MATCH(A15,'Market Results'!A:A,0)),"-")</f>
        <v>-</v>
      </c>
      <c r="J15" s="44" t="str">
        <f t="shared" si="4"/>
        <v>-</v>
      </c>
      <c r="L15" s="60" t="str">
        <f t="shared" si="5"/>
        <v>-</v>
      </c>
    </row>
    <row r="16" spans="1:12" ht="15.75" thickBot="1" x14ac:dyDescent="0.3">
      <c r="A16" s="2" t="s">
        <v>18</v>
      </c>
      <c r="B16" s="2" t="e">
        <f>INDEX(#REF!,MATCH(A16,#REF!,0))</f>
        <v>#REF!</v>
      </c>
      <c r="C16" s="52"/>
      <c r="D16" s="4" t="e">
        <f>AVERAGEIF(#REF!,A16,#REF!)</f>
        <v>#REF!</v>
      </c>
      <c r="E16" s="4" t="e">
        <f t="shared" si="1"/>
        <v>#REF!</v>
      </c>
      <c r="F16" s="4" t="str">
        <f>IFERROR(INDEX('Market Results'!$B:$B,MATCH(B16,'Market Results'!A:A,0)),"-")</f>
        <v>-</v>
      </c>
      <c r="G16" s="43" t="str">
        <f t="shared" si="2"/>
        <v>-</v>
      </c>
      <c r="H16" s="4" t="e">
        <f t="shared" si="3"/>
        <v>#REF!</v>
      </c>
      <c r="I16" s="4">
        <f>IFERROR(INDEX('Market Results'!$F:$F,MATCH(A16,'Market Results'!A:A,0)),"-")</f>
        <v>61208.452930544903</v>
      </c>
      <c r="J16" s="44" t="str">
        <f t="shared" si="4"/>
        <v>-</v>
      </c>
      <c r="L16" s="60" t="str">
        <f t="shared" si="5"/>
        <v>-</v>
      </c>
    </row>
    <row r="17" spans="1:12" ht="15.75" thickBot="1" x14ac:dyDescent="0.3">
      <c r="A17" s="2" t="s">
        <v>21</v>
      </c>
      <c r="B17" s="2" t="e">
        <f>INDEX(#REF!,MATCH(A17,#REF!,0))</f>
        <v>#REF!</v>
      </c>
      <c r="C17" s="52"/>
      <c r="D17" s="4" t="e">
        <f>AVERAGEIF(#REF!,A17,#REF!)</f>
        <v>#REF!</v>
      </c>
      <c r="E17" s="4" t="e">
        <f t="shared" si="1"/>
        <v>#REF!</v>
      </c>
      <c r="F17" s="4" t="str">
        <f>IFERROR(INDEX('Market Results'!$B:$B,MATCH(B17,'Market Results'!A:A,0)),"-")</f>
        <v>-</v>
      </c>
      <c r="G17" s="43" t="str">
        <f t="shared" si="2"/>
        <v>-</v>
      </c>
      <c r="H17" s="4" t="e">
        <f t="shared" si="3"/>
        <v>#REF!</v>
      </c>
      <c r="I17" s="4" t="str">
        <f>IFERROR(INDEX('Market Results'!$F:$F,MATCH(A17,'Market Results'!A:A,0)),"-")</f>
        <v>-</v>
      </c>
      <c r="J17" s="44" t="str">
        <f t="shared" si="4"/>
        <v>-</v>
      </c>
      <c r="L17" s="60" t="str">
        <f t="shared" si="5"/>
        <v>-</v>
      </c>
    </row>
    <row r="18" spans="1:12" ht="15.75" thickBot="1" x14ac:dyDescent="0.3">
      <c r="A18" s="2" t="s">
        <v>163</v>
      </c>
      <c r="B18" s="2" t="e">
        <f>INDEX(#REF!,MATCH(A18,#REF!,0))</f>
        <v>#REF!</v>
      </c>
      <c r="C18" s="52"/>
      <c r="D18" s="4" t="e">
        <f>AVERAGEIF(#REF!,A18,#REF!)</f>
        <v>#REF!</v>
      </c>
      <c r="E18" s="4" t="e">
        <f t="shared" si="1"/>
        <v>#REF!</v>
      </c>
      <c r="F18" s="4" t="str">
        <f>IFERROR(INDEX('Market Results'!$B:$B,MATCH(B18,'Market Results'!A:A,0)),"-")</f>
        <v>-</v>
      </c>
      <c r="G18" s="43" t="str">
        <f t="shared" si="2"/>
        <v>-</v>
      </c>
      <c r="H18" s="4" t="e">
        <f t="shared" si="3"/>
        <v>#REF!</v>
      </c>
      <c r="I18" s="4" t="str">
        <f>IFERROR(INDEX('Market Results'!$F:$F,MATCH(A18,'Market Results'!A:A,0)),"-")</f>
        <v>-</v>
      </c>
      <c r="J18" s="44" t="str">
        <f t="shared" si="4"/>
        <v>-</v>
      </c>
      <c r="L18" s="60" t="str">
        <f t="shared" si="5"/>
        <v>-</v>
      </c>
    </row>
    <row r="19" spans="1:12" ht="15.75" thickBot="1" x14ac:dyDescent="0.3">
      <c r="A19" s="2" t="s">
        <v>109</v>
      </c>
      <c r="B19" s="2" t="e">
        <f>INDEX(#REF!,MATCH(A19,#REF!,0))</f>
        <v>#REF!</v>
      </c>
      <c r="C19" s="52"/>
      <c r="D19" s="4" t="e">
        <f>AVERAGEIF(#REF!,A19,#REF!)</f>
        <v>#REF!</v>
      </c>
      <c r="E19" s="4" t="e">
        <f t="shared" si="1"/>
        <v>#REF!</v>
      </c>
      <c r="F19" s="4" t="str">
        <f>IFERROR(INDEX('Market Results'!$B:$B,MATCH(B19,'Market Results'!A:A,0)),"-")</f>
        <v>-</v>
      </c>
      <c r="G19" s="43" t="str">
        <f t="shared" si="2"/>
        <v>-</v>
      </c>
      <c r="H19" s="4" t="e">
        <f t="shared" si="3"/>
        <v>#REF!</v>
      </c>
      <c r="I19" s="4" t="str">
        <f>IFERROR(INDEX('Market Results'!$F:$F,MATCH(A19,'Market Results'!A:A,0)),"-")</f>
        <v>-</v>
      </c>
      <c r="J19" s="44" t="str">
        <f t="shared" si="4"/>
        <v>-</v>
      </c>
      <c r="L19" s="60" t="str">
        <f t="shared" si="5"/>
        <v>-</v>
      </c>
    </row>
    <row r="20" spans="1:12" ht="15.75" thickBot="1" x14ac:dyDescent="0.3">
      <c r="A20" s="2" t="s">
        <v>164</v>
      </c>
      <c r="B20" s="2" t="e">
        <f>INDEX(#REF!,MATCH(A20,#REF!,0))</f>
        <v>#REF!</v>
      </c>
      <c r="C20" s="52"/>
      <c r="D20" s="4" t="e">
        <f>AVERAGEIF(#REF!,A20,#REF!)</f>
        <v>#REF!</v>
      </c>
      <c r="E20" s="4" t="e">
        <f t="shared" si="1"/>
        <v>#REF!</v>
      </c>
      <c r="F20" s="4" t="str">
        <f>IFERROR(INDEX('Market Results'!$B:$B,MATCH(B20,'Market Results'!A:A,0)),"-")</f>
        <v>-</v>
      </c>
      <c r="G20" s="43" t="str">
        <f t="shared" si="2"/>
        <v>-</v>
      </c>
      <c r="H20" s="4" t="e">
        <f t="shared" si="3"/>
        <v>#REF!</v>
      </c>
      <c r="I20" s="4" t="str">
        <f>IFERROR(INDEX('Market Results'!$F:$F,MATCH(A20,'Market Results'!A:A,0)),"-")</f>
        <v>-</v>
      </c>
      <c r="J20" s="44" t="str">
        <f t="shared" si="4"/>
        <v>-</v>
      </c>
      <c r="L20" s="60" t="str">
        <f t="shared" si="5"/>
        <v>-</v>
      </c>
    </row>
    <row r="21" spans="1:12" ht="15.75" thickBot="1" x14ac:dyDescent="0.3">
      <c r="A21" s="2" t="s">
        <v>23</v>
      </c>
      <c r="B21" s="2" t="e">
        <f>INDEX(#REF!,MATCH(A21,#REF!,0))</f>
        <v>#REF!</v>
      </c>
      <c r="C21" s="52"/>
      <c r="D21" s="4" t="e">
        <f>AVERAGEIF(#REF!,A21,#REF!)</f>
        <v>#REF!</v>
      </c>
      <c r="E21" s="4" t="e">
        <f t="shared" si="1"/>
        <v>#REF!</v>
      </c>
      <c r="F21" s="4" t="str">
        <f>IFERROR(INDEX('Market Results'!$B:$B,MATCH(B21,'Market Results'!A:A,0)),"-")</f>
        <v>-</v>
      </c>
      <c r="G21" s="43" t="str">
        <f t="shared" si="2"/>
        <v>-</v>
      </c>
      <c r="H21" s="4" t="e">
        <f t="shared" si="3"/>
        <v>#REF!</v>
      </c>
      <c r="I21" s="4" t="str">
        <f>IFERROR(INDEX('Market Results'!$F:$F,MATCH(A21,'Market Results'!A:A,0)),"-")</f>
        <v>-</v>
      </c>
      <c r="J21" s="44" t="str">
        <f t="shared" si="4"/>
        <v>-</v>
      </c>
      <c r="L21" s="60" t="str">
        <f t="shared" si="5"/>
        <v>-</v>
      </c>
    </row>
    <row r="22" spans="1:12" ht="15.75" thickBot="1" x14ac:dyDescent="0.3">
      <c r="A22" s="2" t="s">
        <v>6</v>
      </c>
      <c r="B22" s="2" t="e">
        <f>INDEX(#REF!,MATCH(A22,#REF!,0))</f>
        <v>#REF!</v>
      </c>
      <c r="C22" s="52"/>
      <c r="D22" s="4" t="e">
        <f>AVERAGEIF(#REF!,A22,#REF!)</f>
        <v>#REF!</v>
      </c>
      <c r="E22" s="4" t="e">
        <f t="shared" si="1"/>
        <v>#REF!</v>
      </c>
      <c r="F22" s="4" t="str">
        <f>IFERROR(INDEX('Market Results'!$B:$B,MATCH(B22,'Market Results'!A:A,0)),"-")</f>
        <v>-</v>
      </c>
      <c r="G22" s="43" t="str">
        <f t="shared" si="2"/>
        <v>-</v>
      </c>
      <c r="H22" s="4" t="e">
        <f t="shared" si="3"/>
        <v>#REF!</v>
      </c>
      <c r="I22" s="4" t="str">
        <f>IFERROR(INDEX('Market Results'!$F:$F,MATCH(A22,'Market Results'!A:A,0)),"-")</f>
        <v>-</v>
      </c>
      <c r="J22" s="44" t="str">
        <f t="shared" si="4"/>
        <v>-</v>
      </c>
      <c r="L22" s="60" t="str">
        <f t="shared" si="5"/>
        <v>-</v>
      </c>
    </row>
    <row r="23" spans="1:12" ht="15.75" thickBot="1" x14ac:dyDescent="0.3">
      <c r="A23" s="2" t="s">
        <v>81</v>
      </c>
      <c r="B23" s="2" t="e">
        <f>INDEX(#REF!,MATCH(A23,#REF!,0))</f>
        <v>#REF!</v>
      </c>
      <c r="C23" s="52"/>
      <c r="D23" s="4" t="e">
        <f>AVERAGEIF(#REF!,A23,#REF!)</f>
        <v>#REF!</v>
      </c>
      <c r="E23" s="4" t="e">
        <f t="shared" si="1"/>
        <v>#REF!</v>
      </c>
      <c r="F23" s="4" t="str">
        <f>IFERROR(INDEX('Market Results'!$B:$B,MATCH(B23,'Market Results'!A:A,0)),"-")</f>
        <v>-</v>
      </c>
      <c r="G23" s="43" t="str">
        <f t="shared" si="2"/>
        <v>-</v>
      </c>
      <c r="H23" s="4" t="e">
        <f t="shared" si="3"/>
        <v>#REF!</v>
      </c>
      <c r="I23" s="4" t="str">
        <f>IFERROR(INDEX('Market Results'!$F:$F,MATCH(A23,'Market Results'!A:A,0)),"-")</f>
        <v>-</v>
      </c>
      <c r="J23" s="44" t="str">
        <f t="shared" si="4"/>
        <v>-</v>
      </c>
      <c r="L23" s="60" t="str">
        <f t="shared" si="5"/>
        <v>-</v>
      </c>
    </row>
    <row r="24" spans="1:12" ht="15.75" thickBot="1" x14ac:dyDescent="0.3">
      <c r="A24" s="2" t="s">
        <v>87</v>
      </c>
      <c r="B24" s="2" t="e">
        <f>INDEX(#REF!,MATCH(A24,#REF!,0))</f>
        <v>#REF!</v>
      </c>
      <c r="C24" s="52"/>
      <c r="D24" s="4" t="e">
        <f>AVERAGEIF(#REF!,A24,#REF!)</f>
        <v>#REF!</v>
      </c>
      <c r="E24" s="4" t="e">
        <f t="shared" si="1"/>
        <v>#REF!</v>
      </c>
      <c r="F24" s="4" t="str">
        <f>IFERROR(INDEX('Market Results'!$B:$B,MATCH(B24,'Market Results'!A:A,0)),"-")</f>
        <v>-</v>
      </c>
      <c r="G24" s="43" t="str">
        <f t="shared" si="2"/>
        <v>-</v>
      </c>
      <c r="H24" s="4" t="e">
        <f t="shared" si="3"/>
        <v>#REF!</v>
      </c>
      <c r="I24" s="4" t="str">
        <f>IFERROR(INDEX('Market Results'!$F:$F,MATCH(A24,'Market Results'!A:A,0)),"-")</f>
        <v>-</v>
      </c>
      <c r="J24" s="44" t="str">
        <f t="shared" si="4"/>
        <v>-</v>
      </c>
      <c r="L24" s="60" t="str">
        <f t="shared" si="5"/>
        <v>-</v>
      </c>
    </row>
    <row r="25" spans="1:12" ht="15.75" thickBot="1" x14ac:dyDescent="0.3">
      <c r="A25" s="2" t="s">
        <v>30</v>
      </c>
      <c r="B25" s="2" t="e">
        <f>INDEX(#REF!,MATCH(A25,#REF!,0))</f>
        <v>#REF!</v>
      </c>
      <c r="C25" s="52"/>
      <c r="D25" s="4" t="e">
        <f>AVERAGEIF(#REF!,A25,#REF!)</f>
        <v>#REF!</v>
      </c>
      <c r="E25" s="4" t="e">
        <f t="shared" si="1"/>
        <v>#REF!</v>
      </c>
      <c r="F25" s="4" t="str">
        <f>IFERROR(INDEX('Market Results'!$B:$B,MATCH(B25,'Market Results'!A:A,0)),"-")</f>
        <v>-</v>
      </c>
      <c r="G25" s="43" t="str">
        <f t="shared" si="2"/>
        <v>-</v>
      </c>
      <c r="H25" s="4" t="e">
        <f t="shared" si="3"/>
        <v>#REF!</v>
      </c>
      <c r="I25" s="4" t="str">
        <f>IFERROR(INDEX('Market Results'!$F:$F,MATCH(A25,'Market Results'!A:A,0)),"-")</f>
        <v>-</v>
      </c>
      <c r="J25" s="44" t="str">
        <f t="shared" si="4"/>
        <v>-</v>
      </c>
      <c r="L25" s="60" t="str">
        <f t="shared" si="5"/>
        <v>-</v>
      </c>
    </row>
    <row r="26" spans="1:12" ht="15.75" thickBot="1" x14ac:dyDescent="0.3">
      <c r="A26" s="2" t="s">
        <v>22</v>
      </c>
      <c r="B26" s="2" t="e">
        <f>INDEX(#REF!,MATCH(A26,#REF!,0))</f>
        <v>#REF!</v>
      </c>
      <c r="C26" s="52"/>
      <c r="D26" s="4" t="e">
        <f>AVERAGEIF(#REF!,A26,#REF!)</f>
        <v>#REF!</v>
      </c>
      <c r="E26" s="4" t="e">
        <f t="shared" si="1"/>
        <v>#REF!</v>
      </c>
      <c r="F26" s="4" t="str">
        <f>IFERROR(INDEX('Market Results'!$B:$B,MATCH(B26,'Market Results'!A:A,0)),"-")</f>
        <v>-</v>
      </c>
      <c r="G26" s="43" t="str">
        <f t="shared" si="2"/>
        <v>-</v>
      </c>
      <c r="H26" s="4" t="e">
        <f t="shared" si="3"/>
        <v>#REF!</v>
      </c>
      <c r="I26" s="4" t="str">
        <f>IFERROR(INDEX('Market Results'!$F:$F,MATCH(A26,'Market Results'!A:A,0)),"-")</f>
        <v>-</v>
      </c>
      <c r="J26" s="44" t="str">
        <f t="shared" si="4"/>
        <v>-</v>
      </c>
      <c r="L26" s="60" t="str">
        <f t="shared" si="5"/>
        <v>-</v>
      </c>
    </row>
    <row r="27" spans="1:12" ht="15.75" thickBot="1" x14ac:dyDescent="0.3">
      <c r="A27" s="2" t="s">
        <v>25</v>
      </c>
      <c r="B27" s="2" t="e">
        <f>INDEX(#REF!,MATCH(A27,#REF!,0))</f>
        <v>#REF!</v>
      </c>
      <c r="C27" s="52"/>
      <c r="D27" s="4" t="e">
        <f>AVERAGEIF(#REF!,A27,#REF!)</f>
        <v>#REF!</v>
      </c>
      <c r="E27" s="4" t="e">
        <f t="shared" si="1"/>
        <v>#REF!</v>
      </c>
      <c r="F27" s="4" t="str">
        <f>IFERROR(INDEX('Market Results'!$B:$B,MATCH(B27,'Market Results'!A:A,0)),"-")</f>
        <v>-</v>
      </c>
      <c r="G27" s="43" t="str">
        <f t="shared" si="2"/>
        <v>-</v>
      </c>
      <c r="H27" s="4" t="e">
        <f t="shared" si="3"/>
        <v>#REF!</v>
      </c>
      <c r="I27" s="4" t="str">
        <f>IFERROR(INDEX('Market Results'!$F:$F,MATCH(A27,'Market Results'!A:A,0)),"-")</f>
        <v>-</v>
      </c>
      <c r="J27" s="44" t="str">
        <f t="shared" si="4"/>
        <v>-</v>
      </c>
      <c r="L27" s="60" t="str">
        <f t="shared" si="5"/>
        <v>-</v>
      </c>
    </row>
    <row r="28" spans="1:12" ht="15.75" thickBot="1" x14ac:dyDescent="0.3">
      <c r="A28" s="2" t="s">
        <v>85</v>
      </c>
      <c r="B28" s="2" t="e">
        <f>INDEX(#REF!,MATCH(A28,#REF!,0))</f>
        <v>#REF!</v>
      </c>
      <c r="C28" s="52"/>
      <c r="D28" s="4" t="e">
        <f>AVERAGEIF(#REF!,A28,#REF!)</f>
        <v>#REF!</v>
      </c>
      <c r="E28" s="4" t="e">
        <f t="shared" si="1"/>
        <v>#REF!</v>
      </c>
      <c r="F28" s="4" t="str">
        <f>IFERROR(INDEX('Market Results'!$B:$B,MATCH(B28,'Market Results'!A:A,0)),"-")</f>
        <v>-</v>
      </c>
      <c r="G28" s="43" t="str">
        <f t="shared" si="2"/>
        <v>-</v>
      </c>
      <c r="H28" s="4" t="e">
        <f t="shared" si="3"/>
        <v>#REF!</v>
      </c>
      <c r="I28" s="4" t="str">
        <f>IFERROR(INDEX('Market Results'!$F:$F,MATCH(A28,'Market Results'!A:A,0)),"-")</f>
        <v>-</v>
      </c>
      <c r="J28" s="44" t="str">
        <f t="shared" si="4"/>
        <v>-</v>
      </c>
      <c r="L28" s="60" t="str">
        <f t="shared" si="5"/>
        <v>-</v>
      </c>
    </row>
    <row r="29" spans="1:12" ht="15.75" thickBot="1" x14ac:dyDescent="0.3">
      <c r="A29" s="2" t="s">
        <v>16</v>
      </c>
      <c r="B29" s="2" t="e">
        <f>INDEX(#REF!,MATCH(A29,#REF!,0))</f>
        <v>#REF!</v>
      </c>
      <c r="C29" s="52"/>
      <c r="D29" s="4" t="e">
        <f>AVERAGEIF(#REF!,A29,#REF!)</f>
        <v>#REF!</v>
      </c>
      <c r="E29" s="4" t="e">
        <f t="shared" si="1"/>
        <v>#REF!</v>
      </c>
      <c r="F29" s="4" t="str">
        <f>IFERROR(INDEX('Market Results'!$B:$B,MATCH(B29,'Market Results'!A:A,0)),"-")</f>
        <v>-</v>
      </c>
      <c r="G29" s="43" t="str">
        <f t="shared" si="2"/>
        <v>-</v>
      </c>
      <c r="H29" s="4" t="e">
        <f t="shared" si="3"/>
        <v>#REF!</v>
      </c>
      <c r="I29" s="4" t="str">
        <f>IFERROR(INDEX('Market Results'!$F:$F,MATCH(A29,'Market Results'!A:A,0)),"-")</f>
        <v>-</v>
      </c>
      <c r="J29" s="44" t="str">
        <f t="shared" si="4"/>
        <v>-</v>
      </c>
      <c r="L29" s="60" t="str">
        <f t="shared" si="5"/>
        <v>-</v>
      </c>
    </row>
    <row r="30" spans="1:12" ht="15.75" thickBot="1" x14ac:dyDescent="0.3">
      <c r="A30" s="2" t="s">
        <v>165</v>
      </c>
      <c r="B30" s="2" t="e">
        <f>INDEX(#REF!,MATCH(A30,#REF!,0))</f>
        <v>#REF!</v>
      </c>
      <c r="C30" s="52"/>
      <c r="D30" s="4" t="e">
        <f>AVERAGEIF(#REF!,A30,#REF!)</f>
        <v>#REF!</v>
      </c>
      <c r="E30" s="4" t="e">
        <f t="shared" si="1"/>
        <v>#REF!</v>
      </c>
      <c r="F30" s="4" t="str">
        <f>IFERROR(INDEX('Market Results'!$B:$B,MATCH(B30,'Market Results'!A:A,0)),"-")</f>
        <v>-</v>
      </c>
      <c r="G30" s="43" t="str">
        <f t="shared" si="2"/>
        <v>-</v>
      </c>
      <c r="H30" s="4" t="e">
        <f t="shared" si="3"/>
        <v>#REF!</v>
      </c>
      <c r="I30" s="4" t="str">
        <f>IFERROR(INDEX('Market Results'!$F:$F,MATCH(A30,'Market Results'!A:A,0)),"-")</f>
        <v>-</v>
      </c>
      <c r="J30" s="44" t="str">
        <f t="shared" si="4"/>
        <v>-</v>
      </c>
      <c r="L30" s="60" t="str">
        <f t="shared" si="5"/>
        <v>-</v>
      </c>
    </row>
    <row r="31" spans="1:12" ht="15.75" thickBot="1" x14ac:dyDescent="0.3">
      <c r="A31" s="2" t="s">
        <v>44</v>
      </c>
      <c r="B31" s="2" t="e">
        <f>INDEX(#REF!,MATCH(A31,#REF!,0))</f>
        <v>#REF!</v>
      </c>
      <c r="C31" s="52"/>
      <c r="D31" s="4" t="e">
        <f>AVERAGEIF(#REF!,A31,#REF!)</f>
        <v>#REF!</v>
      </c>
      <c r="E31" s="4" t="e">
        <f t="shared" si="1"/>
        <v>#REF!</v>
      </c>
      <c r="F31" s="4" t="str">
        <f>IFERROR(INDEX('Market Results'!$B:$B,MATCH(B31,'Market Results'!A:A,0)),"-")</f>
        <v>-</v>
      </c>
      <c r="G31" s="43" t="str">
        <f t="shared" si="2"/>
        <v>-</v>
      </c>
      <c r="H31" s="4" t="e">
        <f t="shared" si="3"/>
        <v>#REF!</v>
      </c>
      <c r="I31" s="4" t="str">
        <f>IFERROR(INDEX('Market Results'!$F:$F,MATCH(A31,'Market Results'!A:A,0)),"-")</f>
        <v>-</v>
      </c>
      <c r="J31" s="44" t="str">
        <f t="shared" si="4"/>
        <v>-</v>
      </c>
      <c r="L31" s="60" t="str">
        <f t="shared" si="5"/>
        <v>-</v>
      </c>
    </row>
    <row r="32" spans="1:12" ht="15.75" thickBot="1" x14ac:dyDescent="0.3">
      <c r="A32" s="2" t="s">
        <v>166</v>
      </c>
      <c r="B32" s="2" t="e">
        <f>INDEX(#REF!,MATCH(A32,#REF!,0))</f>
        <v>#REF!</v>
      </c>
      <c r="C32" s="52"/>
      <c r="D32" s="4" t="e">
        <f>AVERAGEIF(#REF!,A32,#REF!)</f>
        <v>#REF!</v>
      </c>
      <c r="E32" s="4" t="e">
        <f t="shared" si="1"/>
        <v>#REF!</v>
      </c>
      <c r="F32" s="4" t="str">
        <f>IFERROR(INDEX('Market Results'!$B:$B,MATCH(B32,'Market Results'!A:A,0)),"-")</f>
        <v>-</v>
      </c>
      <c r="G32" s="43" t="str">
        <f t="shared" si="2"/>
        <v>-</v>
      </c>
      <c r="H32" s="4" t="e">
        <f t="shared" si="3"/>
        <v>#REF!</v>
      </c>
      <c r="I32" s="4" t="str">
        <f>IFERROR(INDEX('Market Results'!$F:$F,MATCH(A32,'Market Results'!A:A,0)),"-")</f>
        <v>-</v>
      </c>
      <c r="J32" s="44" t="str">
        <f t="shared" si="4"/>
        <v>-</v>
      </c>
      <c r="L32" s="60" t="str">
        <f t="shared" si="5"/>
        <v>-</v>
      </c>
    </row>
    <row r="33" spans="1:12" ht="15.75" thickBot="1" x14ac:dyDescent="0.3">
      <c r="A33" s="2" t="s">
        <v>11</v>
      </c>
      <c r="B33" s="2" t="e">
        <f>INDEX(#REF!,MATCH(A33,#REF!,0))</f>
        <v>#REF!</v>
      </c>
      <c r="C33" s="52"/>
      <c r="D33" s="4" t="e">
        <f>AVERAGEIF(#REF!,A33,#REF!)</f>
        <v>#REF!</v>
      </c>
      <c r="E33" s="4" t="e">
        <f t="shared" si="1"/>
        <v>#REF!</v>
      </c>
      <c r="F33" s="4" t="str">
        <f>IFERROR(INDEX('Market Results'!$B:$B,MATCH(B33,'Market Results'!A:A,0)),"-")</f>
        <v>-</v>
      </c>
      <c r="G33" s="43" t="str">
        <f t="shared" si="2"/>
        <v>-</v>
      </c>
      <c r="H33" s="4" t="e">
        <f t="shared" si="3"/>
        <v>#REF!</v>
      </c>
      <c r="I33" s="4" t="str">
        <f>IFERROR(INDEX('Market Results'!$F:$F,MATCH(A33,'Market Results'!A:A,0)),"-")</f>
        <v>-</v>
      </c>
      <c r="J33" s="44" t="str">
        <f t="shared" si="4"/>
        <v>-</v>
      </c>
      <c r="L33" s="60" t="str">
        <f t="shared" si="5"/>
        <v>-</v>
      </c>
    </row>
    <row r="34" spans="1:12" ht="15.75" thickBot="1" x14ac:dyDescent="0.3">
      <c r="A34" s="2" t="s">
        <v>28</v>
      </c>
      <c r="B34" s="2" t="e">
        <f>INDEX(#REF!,MATCH(A34,#REF!,0))</f>
        <v>#REF!</v>
      </c>
      <c r="C34" s="52"/>
      <c r="D34" s="4" t="e">
        <f>AVERAGEIF(#REF!,A34,#REF!)</f>
        <v>#REF!</v>
      </c>
      <c r="E34" s="4" t="e">
        <f t="shared" si="1"/>
        <v>#REF!</v>
      </c>
      <c r="F34" s="4" t="str">
        <f>IFERROR(INDEX('Market Results'!$B:$B,MATCH(B34,'Market Results'!A:A,0)),"-")</f>
        <v>-</v>
      </c>
      <c r="G34" s="43" t="str">
        <f t="shared" si="2"/>
        <v>-</v>
      </c>
      <c r="H34" s="4" t="e">
        <f t="shared" si="3"/>
        <v>#REF!</v>
      </c>
      <c r="I34" s="4" t="str">
        <f>IFERROR(INDEX('Market Results'!$F:$F,MATCH(A34,'Market Results'!A:A,0)),"-")</f>
        <v>-</v>
      </c>
      <c r="J34" s="44" t="str">
        <f t="shared" si="4"/>
        <v>-</v>
      </c>
      <c r="L34" s="60" t="str">
        <f t="shared" si="5"/>
        <v>-</v>
      </c>
    </row>
    <row r="35" spans="1:12" ht="15.75" thickBot="1" x14ac:dyDescent="0.3">
      <c r="A35" s="2" t="s">
        <v>167</v>
      </c>
      <c r="B35" s="2" t="e">
        <f>INDEX(#REF!,MATCH(A35,#REF!,0))</f>
        <v>#REF!</v>
      </c>
      <c r="C35" s="52"/>
      <c r="D35" s="4" t="e">
        <f>AVERAGEIF(#REF!,A35,#REF!)</f>
        <v>#REF!</v>
      </c>
      <c r="E35" s="4" t="e">
        <f t="shared" si="1"/>
        <v>#REF!</v>
      </c>
      <c r="F35" s="4" t="str">
        <f>IFERROR(INDEX('Market Results'!$B:$B,MATCH(B35,'Market Results'!A:A,0)),"-")</f>
        <v>-</v>
      </c>
      <c r="G35" s="43" t="str">
        <f t="shared" si="2"/>
        <v>-</v>
      </c>
      <c r="H35" s="4" t="e">
        <f t="shared" si="3"/>
        <v>#REF!</v>
      </c>
      <c r="I35" s="4" t="str">
        <f>IFERROR(INDEX('Market Results'!$F:$F,MATCH(A35,'Market Results'!A:A,0)),"-")</f>
        <v>-</v>
      </c>
      <c r="J35" s="44" t="str">
        <f t="shared" si="4"/>
        <v>-</v>
      </c>
      <c r="L35" s="60" t="str">
        <f t="shared" si="5"/>
        <v>-</v>
      </c>
    </row>
    <row r="36" spans="1:12" ht="15.75" thickBot="1" x14ac:dyDescent="0.3">
      <c r="A36" s="2" t="s">
        <v>12</v>
      </c>
      <c r="B36" s="2" t="e">
        <f>INDEX(#REF!,MATCH(A36,#REF!,0))</f>
        <v>#REF!</v>
      </c>
      <c r="C36" s="52"/>
      <c r="D36" s="4" t="e">
        <f>AVERAGEIF(#REF!,A36,#REF!)</f>
        <v>#REF!</v>
      </c>
      <c r="E36" s="4" t="e">
        <f t="shared" si="1"/>
        <v>#REF!</v>
      </c>
      <c r="F36" s="4" t="str">
        <f>IFERROR(INDEX('Market Results'!$B:$B,MATCH(B36,'Market Results'!A:A,0)),"-")</f>
        <v>-</v>
      </c>
      <c r="G36" s="43" t="str">
        <f t="shared" si="2"/>
        <v>-</v>
      </c>
      <c r="H36" s="4" t="e">
        <f t="shared" si="3"/>
        <v>#REF!</v>
      </c>
      <c r="I36" s="4" t="str">
        <f>IFERROR(INDEX('Market Results'!$F:$F,MATCH(A36,'Market Results'!A:A,0)),"-")</f>
        <v>-</v>
      </c>
      <c r="J36" s="44" t="str">
        <f t="shared" si="4"/>
        <v>-</v>
      </c>
      <c r="L36" s="60" t="str">
        <f t="shared" si="5"/>
        <v>-</v>
      </c>
    </row>
    <row r="37" spans="1:12" ht="15.75" thickBot="1" x14ac:dyDescent="0.3">
      <c r="A37" s="2" t="s">
        <v>56</v>
      </c>
      <c r="B37" s="2" t="e">
        <f>INDEX(#REF!,MATCH(A37,#REF!,0))</f>
        <v>#REF!</v>
      </c>
      <c r="C37" s="52"/>
      <c r="D37" s="4" t="e">
        <f>AVERAGEIF(#REF!,A37,#REF!)</f>
        <v>#REF!</v>
      </c>
      <c r="E37" s="4" t="e">
        <f t="shared" si="1"/>
        <v>#REF!</v>
      </c>
      <c r="F37" s="4" t="str">
        <f>IFERROR(INDEX('Market Results'!$B:$B,MATCH(B37,'Market Results'!A:A,0)),"-")</f>
        <v>-</v>
      </c>
      <c r="G37" s="43" t="str">
        <f t="shared" si="2"/>
        <v>-</v>
      </c>
      <c r="H37" s="4" t="e">
        <f t="shared" si="3"/>
        <v>#REF!</v>
      </c>
      <c r="I37" s="4" t="str">
        <f>IFERROR(INDEX('Market Results'!$F:$F,MATCH(A37,'Market Results'!A:A,0)),"-")</f>
        <v>-</v>
      </c>
      <c r="J37" s="44" t="str">
        <f t="shared" si="4"/>
        <v>-</v>
      </c>
      <c r="L37" s="60" t="str">
        <f t="shared" si="5"/>
        <v>-</v>
      </c>
    </row>
    <row r="38" spans="1:12" ht="15.75" thickBot="1" x14ac:dyDescent="0.3">
      <c r="A38" s="2" t="s">
        <v>35</v>
      </c>
      <c r="B38" s="2" t="e">
        <f>INDEX(#REF!,MATCH(A38,#REF!,0))</f>
        <v>#REF!</v>
      </c>
      <c r="C38" s="52"/>
      <c r="D38" s="4" t="e">
        <f>AVERAGEIF(#REF!,A38,#REF!)</f>
        <v>#REF!</v>
      </c>
      <c r="E38" s="4" t="e">
        <f t="shared" si="1"/>
        <v>#REF!</v>
      </c>
      <c r="F38" s="4" t="str">
        <f>IFERROR(INDEX('Market Results'!$B:$B,MATCH(B38,'Market Results'!A:A,0)),"-")</f>
        <v>-</v>
      </c>
      <c r="G38" s="43" t="str">
        <f t="shared" si="2"/>
        <v>-</v>
      </c>
      <c r="H38" s="4" t="e">
        <f t="shared" si="3"/>
        <v>#REF!</v>
      </c>
      <c r="I38" s="4" t="str">
        <f>IFERROR(INDEX('Market Results'!$F:$F,MATCH(A38,'Market Results'!A:A,0)),"-")</f>
        <v>-</v>
      </c>
      <c r="J38" s="44" t="str">
        <f t="shared" si="4"/>
        <v>-</v>
      </c>
      <c r="L38" s="60" t="str">
        <f t="shared" si="5"/>
        <v>-</v>
      </c>
    </row>
    <row r="39" spans="1:12" ht="15.75" thickBot="1" x14ac:dyDescent="0.3">
      <c r="A39" s="2" t="s">
        <v>168</v>
      </c>
      <c r="B39" s="2" t="e">
        <f>INDEX(#REF!,MATCH(A39,#REF!,0))</f>
        <v>#REF!</v>
      </c>
      <c r="C39" s="52"/>
      <c r="D39" s="4" t="e">
        <f>AVERAGEIF(#REF!,A39,#REF!)</f>
        <v>#REF!</v>
      </c>
      <c r="E39" s="4" t="e">
        <f t="shared" si="1"/>
        <v>#REF!</v>
      </c>
      <c r="F39" s="4" t="str">
        <f>IFERROR(INDEX('Market Results'!$B:$B,MATCH(B39,'Market Results'!A:A,0)),"-")</f>
        <v>-</v>
      </c>
      <c r="G39" s="43" t="str">
        <f t="shared" si="2"/>
        <v>-</v>
      </c>
      <c r="H39" s="4" t="e">
        <f t="shared" si="3"/>
        <v>#REF!</v>
      </c>
      <c r="I39" s="4" t="str">
        <f>IFERROR(INDEX('Market Results'!$F:$F,MATCH(A39,'Market Results'!A:A,0)),"-")</f>
        <v>-</v>
      </c>
      <c r="J39" s="44" t="str">
        <f t="shared" si="4"/>
        <v>-</v>
      </c>
      <c r="L39" s="60" t="str">
        <f t="shared" si="5"/>
        <v>-</v>
      </c>
    </row>
    <row r="40" spans="1:12" ht="15.75" thickBot="1" x14ac:dyDescent="0.3">
      <c r="A40" s="2" t="s">
        <v>51</v>
      </c>
      <c r="B40" s="2" t="e">
        <f>INDEX(#REF!,MATCH(A40,#REF!,0))</f>
        <v>#REF!</v>
      </c>
      <c r="C40" s="52"/>
      <c r="D40" s="4" t="e">
        <f>AVERAGEIF(#REF!,A40,#REF!)</f>
        <v>#REF!</v>
      </c>
      <c r="E40" s="4" t="e">
        <f t="shared" si="1"/>
        <v>#REF!</v>
      </c>
      <c r="F40" s="4" t="str">
        <f>IFERROR(INDEX('Market Results'!$B:$B,MATCH(B40,'Market Results'!A:A,0)),"-")</f>
        <v>-</v>
      </c>
      <c r="G40" s="43" t="str">
        <f t="shared" si="2"/>
        <v>-</v>
      </c>
      <c r="H40" s="4" t="e">
        <f t="shared" si="3"/>
        <v>#REF!</v>
      </c>
      <c r="I40" s="4" t="str">
        <f>IFERROR(INDEX('Market Results'!$F:$F,MATCH(A40,'Market Results'!A:A,0)),"-")</f>
        <v>-</v>
      </c>
      <c r="J40" s="44" t="str">
        <f t="shared" si="4"/>
        <v>-</v>
      </c>
      <c r="L40" s="60" t="str">
        <f t="shared" si="5"/>
        <v>-</v>
      </c>
    </row>
    <row r="41" spans="1:12" ht="15.75" thickBot="1" x14ac:dyDescent="0.3">
      <c r="A41" s="2" t="s">
        <v>169</v>
      </c>
      <c r="B41" s="2" t="e">
        <f>INDEX(#REF!,MATCH(A41,#REF!,0))</f>
        <v>#REF!</v>
      </c>
      <c r="C41" s="52"/>
      <c r="D41" s="4" t="e">
        <f>AVERAGEIF(#REF!,A41,#REF!)</f>
        <v>#REF!</v>
      </c>
      <c r="E41" s="4" t="e">
        <f t="shared" si="1"/>
        <v>#REF!</v>
      </c>
      <c r="F41" s="4" t="str">
        <f>IFERROR(INDEX('Market Results'!$B:$B,MATCH(B41,'Market Results'!A:A,0)),"-")</f>
        <v>-</v>
      </c>
      <c r="G41" s="43" t="str">
        <f t="shared" si="2"/>
        <v>-</v>
      </c>
      <c r="H41" s="4" t="e">
        <f t="shared" si="3"/>
        <v>#REF!</v>
      </c>
      <c r="I41" s="4" t="str">
        <f>IFERROR(INDEX('Market Results'!$F:$F,MATCH(A41,'Market Results'!A:A,0)),"-")</f>
        <v>-</v>
      </c>
      <c r="J41" s="44" t="str">
        <f t="shared" si="4"/>
        <v>-</v>
      </c>
      <c r="L41" s="60" t="str">
        <f t="shared" si="5"/>
        <v>-</v>
      </c>
    </row>
    <row r="42" spans="1:12" ht="15.75" thickBot="1" x14ac:dyDescent="0.3">
      <c r="A42" s="2" t="s">
        <v>13</v>
      </c>
      <c r="B42" s="2" t="e">
        <f>INDEX(#REF!,MATCH(A42,#REF!,0))</f>
        <v>#REF!</v>
      </c>
      <c r="C42" s="52"/>
      <c r="D42" s="4" t="e">
        <f>AVERAGEIF(#REF!,A42,#REF!)</f>
        <v>#REF!</v>
      </c>
      <c r="E42" s="4" t="e">
        <f t="shared" si="1"/>
        <v>#REF!</v>
      </c>
      <c r="F42" s="4" t="str">
        <f>IFERROR(INDEX('Market Results'!$B:$B,MATCH(B42,'Market Results'!A:A,0)),"-")</f>
        <v>-</v>
      </c>
      <c r="G42" s="43" t="str">
        <f t="shared" si="2"/>
        <v>-</v>
      </c>
      <c r="H42" s="4" t="e">
        <f t="shared" si="3"/>
        <v>#REF!</v>
      </c>
      <c r="I42" s="4" t="str">
        <f>IFERROR(INDEX('Market Results'!$F:$F,MATCH(A42,'Market Results'!A:A,0)),"-")</f>
        <v>-</v>
      </c>
      <c r="J42" s="44" t="str">
        <f t="shared" si="4"/>
        <v>-</v>
      </c>
      <c r="L42" s="60" t="str">
        <f t="shared" si="5"/>
        <v>-</v>
      </c>
    </row>
    <row r="43" spans="1:12" ht="15.75" thickBot="1" x14ac:dyDescent="0.3">
      <c r="A43" s="2" t="s">
        <v>170</v>
      </c>
      <c r="B43" s="2" t="e">
        <f>INDEX(#REF!,MATCH(A43,#REF!,0))</f>
        <v>#REF!</v>
      </c>
      <c r="C43" s="52"/>
      <c r="D43" s="4" t="e">
        <f>AVERAGEIF(#REF!,A43,#REF!)</f>
        <v>#REF!</v>
      </c>
      <c r="E43" s="4" t="e">
        <f t="shared" si="1"/>
        <v>#REF!</v>
      </c>
      <c r="F43" s="4" t="str">
        <f>IFERROR(INDEX('Market Results'!$B:$B,MATCH(B43,'Market Results'!A:A,0)),"-")</f>
        <v>-</v>
      </c>
      <c r="G43" s="43" t="str">
        <f t="shared" si="2"/>
        <v>-</v>
      </c>
      <c r="H43" s="4" t="e">
        <f t="shared" si="3"/>
        <v>#REF!</v>
      </c>
      <c r="I43" s="4" t="str">
        <f>IFERROR(INDEX('Market Results'!$F:$F,MATCH(A43,'Market Results'!A:A,0)),"-")</f>
        <v>-</v>
      </c>
      <c r="J43" s="44" t="str">
        <f t="shared" si="4"/>
        <v>-</v>
      </c>
      <c r="L43" s="60" t="str">
        <f t="shared" si="5"/>
        <v>-</v>
      </c>
    </row>
    <row r="44" spans="1:12" ht="15.75" thickBot="1" x14ac:dyDescent="0.3">
      <c r="A44" s="2" t="s">
        <v>17</v>
      </c>
      <c r="B44" s="2" t="e">
        <f>INDEX(#REF!,MATCH(A44,#REF!,0))</f>
        <v>#REF!</v>
      </c>
      <c r="C44" s="52"/>
      <c r="D44" s="4" t="e">
        <f>AVERAGEIF(#REF!,A44,#REF!)</f>
        <v>#REF!</v>
      </c>
      <c r="E44" s="4" t="e">
        <f t="shared" si="1"/>
        <v>#REF!</v>
      </c>
      <c r="F44" s="4" t="str">
        <f>IFERROR(INDEX('Market Results'!$B:$B,MATCH(B44,'Market Results'!A:A,0)),"-")</f>
        <v>-</v>
      </c>
      <c r="G44" s="43" t="str">
        <f t="shared" si="2"/>
        <v>-</v>
      </c>
      <c r="H44" s="4" t="e">
        <f t="shared" si="3"/>
        <v>#REF!</v>
      </c>
      <c r="I44" s="4" t="str">
        <f>IFERROR(INDEX('Market Results'!$F:$F,MATCH(A44,'Market Results'!A:A,0)),"-")</f>
        <v>-</v>
      </c>
      <c r="J44" s="44" t="str">
        <f t="shared" si="4"/>
        <v>-</v>
      </c>
      <c r="L44" s="60" t="str">
        <f t="shared" si="5"/>
        <v>-</v>
      </c>
    </row>
    <row r="45" spans="1:12" ht="15.75" thickBot="1" x14ac:dyDescent="0.3">
      <c r="A45" s="2" t="s">
        <v>24</v>
      </c>
      <c r="B45" s="2" t="e">
        <f>INDEX(#REF!,MATCH(A45,#REF!,0))</f>
        <v>#REF!</v>
      </c>
      <c r="C45" s="52"/>
      <c r="D45" s="4" t="e">
        <f>AVERAGEIF(#REF!,A45,#REF!)</f>
        <v>#REF!</v>
      </c>
      <c r="E45" s="4" t="e">
        <f t="shared" ref="E45:E76" si="6">INDEX($B$4:$B$10,MATCH(B45,$A$4:$A$10,0))</f>
        <v>#REF!</v>
      </c>
      <c r="F45" s="4" t="str">
        <f>IFERROR(INDEX('Market Results'!$B:$B,MATCH(B45,'Market Results'!A:A,0)),"-")</f>
        <v>-</v>
      </c>
      <c r="G45" s="43" t="str">
        <f t="shared" ref="G45:G76" si="7">IFERROR((E45-F45)/E45,"-")</f>
        <v>-</v>
      </c>
      <c r="H45" s="4" t="e">
        <f t="shared" ref="H45:H76" si="8">INDEX($C$4:$C$10,MATCH(B45,$A$4:$A$10,0))</f>
        <v>#REF!</v>
      </c>
      <c r="I45" s="4" t="str">
        <f>IFERROR(INDEX('Market Results'!$F:$F,MATCH(A45,'Market Results'!A:A,0)),"-")</f>
        <v>-</v>
      </c>
      <c r="J45" s="44" t="str">
        <f t="shared" ref="J45:J76" si="9">IFERROR((H45-I45)/H45,"-")</f>
        <v>-</v>
      </c>
      <c r="L45" s="60" t="str">
        <f t="shared" si="5"/>
        <v>-</v>
      </c>
    </row>
    <row r="46" spans="1:12" ht="15.75" thickBot="1" x14ac:dyDescent="0.3">
      <c r="A46" s="2" t="s">
        <v>172</v>
      </c>
      <c r="B46" s="2" t="e">
        <f>INDEX(#REF!,MATCH(A46,#REF!,0))</f>
        <v>#REF!</v>
      </c>
      <c r="C46" s="52"/>
      <c r="D46" s="4" t="e">
        <f>AVERAGEIF(#REF!,A46,#REF!)</f>
        <v>#REF!</v>
      </c>
      <c r="E46" s="4" t="e">
        <f t="shared" si="6"/>
        <v>#REF!</v>
      </c>
      <c r="F46" s="4" t="str">
        <f>IFERROR(INDEX('Market Results'!$B:$B,MATCH(B46,'Market Results'!A:A,0)),"-")</f>
        <v>-</v>
      </c>
      <c r="G46" s="43" t="str">
        <f t="shared" si="7"/>
        <v>-</v>
      </c>
      <c r="H46" s="4" t="e">
        <f t="shared" si="8"/>
        <v>#REF!</v>
      </c>
      <c r="I46" s="4" t="str">
        <f>IFERROR(INDEX('Market Results'!$F:$F,MATCH(A46,'Market Results'!A:A,0)),"-")</f>
        <v>-</v>
      </c>
      <c r="J46" s="44" t="str">
        <f t="shared" si="9"/>
        <v>-</v>
      </c>
      <c r="L46" s="60" t="str">
        <f t="shared" si="5"/>
        <v>-</v>
      </c>
    </row>
    <row r="47" spans="1:12" ht="15.75" thickBot="1" x14ac:dyDescent="0.3">
      <c r="A47" s="2" t="s">
        <v>173</v>
      </c>
      <c r="B47" s="2" t="e">
        <f>INDEX(#REF!,MATCH(A47,#REF!,0))</f>
        <v>#REF!</v>
      </c>
      <c r="C47" s="52"/>
      <c r="D47" s="4" t="e">
        <f>AVERAGEIF(#REF!,A47,#REF!)</f>
        <v>#REF!</v>
      </c>
      <c r="E47" s="4" t="e">
        <f t="shared" si="6"/>
        <v>#REF!</v>
      </c>
      <c r="F47" s="4" t="str">
        <f>IFERROR(INDEX('Market Results'!$B:$B,MATCH(B47,'Market Results'!A:A,0)),"-")</f>
        <v>-</v>
      </c>
      <c r="G47" s="43" t="str">
        <f t="shared" si="7"/>
        <v>-</v>
      </c>
      <c r="H47" s="4" t="e">
        <f t="shared" si="8"/>
        <v>#REF!</v>
      </c>
      <c r="I47" s="4" t="str">
        <f>IFERROR(INDEX('Market Results'!$F:$F,MATCH(A47,'Market Results'!A:A,0)),"-")</f>
        <v>-</v>
      </c>
      <c r="J47" s="44" t="str">
        <f t="shared" si="9"/>
        <v>-</v>
      </c>
      <c r="L47" s="60" t="str">
        <f t="shared" si="5"/>
        <v>-</v>
      </c>
    </row>
    <row r="48" spans="1:12" ht="15.75" thickBot="1" x14ac:dyDescent="0.3">
      <c r="A48" s="2" t="s">
        <v>174</v>
      </c>
      <c r="B48" s="2" t="e">
        <f>INDEX(#REF!,MATCH(A48,#REF!,0))</f>
        <v>#REF!</v>
      </c>
      <c r="C48" s="52"/>
      <c r="D48" s="4" t="e">
        <f>AVERAGEIF(#REF!,A48,#REF!)</f>
        <v>#REF!</v>
      </c>
      <c r="E48" s="4" t="e">
        <f t="shared" si="6"/>
        <v>#REF!</v>
      </c>
      <c r="F48" s="4" t="str">
        <f>IFERROR(INDEX('Market Results'!$B:$B,MATCH(B48,'Market Results'!A:A,0)),"-")</f>
        <v>-</v>
      </c>
      <c r="G48" s="43" t="str">
        <f t="shared" si="7"/>
        <v>-</v>
      </c>
      <c r="H48" s="4" t="e">
        <f t="shared" si="8"/>
        <v>#REF!</v>
      </c>
      <c r="I48" s="4" t="str">
        <f>IFERROR(INDEX('Market Results'!$F:$F,MATCH(A48,'Market Results'!A:A,0)),"-")</f>
        <v>-</v>
      </c>
      <c r="J48" s="44" t="str">
        <f t="shared" si="9"/>
        <v>-</v>
      </c>
      <c r="L48" s="60" t="str">
        <f t="shared" si="5"/>
        <v>-</v>
      </c>
    </row>
    <row r="49" spans="1:12" ht="15.75" thickBot="1" x14ac:dyDescent="0.3">
      <c r="A49" s="2" t="s">
        <v>93</v>
      </c>
      <c r="B49" s="2" t="e">
        <f>INDEX(#REF!,MATCH(A49,#REF!,0))</f>
        <v>#REF!</v>
      </c>
      <c r="C49" s="52"/>
      <c r="D49" s="4" t="e">
        <f>AVERAGEIF(#REF!,A49,#REF!)</f>
        <v>#REF!</v>
      </c>
      <c r="E49" s="4" t="e">
        <f t="shared" si="6"/>
        <v>#REF!</v>
      </c>
      <c r="F49" s="4" t="str">
        <f>IFERROR(INDEX('Market Results'!$B:$B,MATCH(B49,'Market Results'!A:A,0)),"-")</f>
        <v>-</v>
      </c>
      <c r="G49" s="43" t="str">
        <f t="shared" si="7"/>
        <v>-</v>
      </c>
      <c r="H49" s="4" t="e">
        <f t="shared" si="8"/>
        <v>#REF!</v>
      </c>
      <c r="I49" s="4" t="str">
        <f>IFERROR(INDEX('Market Results'!$F:$F,MATCH(A49,'Market Results'!A:A,0)),"-")</f>
        <v>-</v>
      </c>
      <c r="J49" s="44" t="str">
        <f t="shared" si="9"/>
        <v>-</v>
      </c>
      <c r="L49" s="60" t="str">
        <f t="shared" si="5"/>
        <v>-</v>
      </c>
    </row>
    <row r="50" spans="1:12" ht="15.75" thickBot="1" x14ac:dyDescent="0.3">
      <c r="A50" s="2" t="s">
        <v>54</v>
      </c>
      <c r="B50" s="2" t="e">
        <f>INDEX(#REF!,MATCH(A50,#REF!,0))</f>
        <v>#REF!</v>
      </c>
      <c r="C50" s="52"/>
      <c r="D50" s="4" t="e">
        <f>AVERAGEIF(#REF!,A50,#REF!)</f>
        <v>#REF!</v>
      </c>
      <c r="E50" s="4" t="e">
        <f t="shared" si="6"/>
        <v>#REF!</v>
      </c>
      <c r="F50" s="4" t="str">
        <f>IFERROR(INDEX('Market Results'!$B:$B,MATCH(B50,'Market Results'!A:A,0)),"-")</f>
        <v>-</v>
      </c>
      <c r="G50" s="43" t="str">
        <f t="shared" si="7"/>
        <v>-</v>
      </c>
      <c r="H50" s="4" t="e">
        <f t="shared" si="8"/>
        <v>#REF!</v>
      </c>
      <c r="I50" s="4" t="str">
        <f>IFERROR(INDEX('Market Results'!$F:$F,MATCH(A50,'Market Results'!A:A,0)),"-")</f>
        <v>-</v>
      </c>
      <c r="J50" s="44" t="str">
        <f t="shared" si="9"/>
        <v>-</v>
      </c>
      <c r="L50" s="60" t="str">
        <f t="shared" si="5"/>
        <v>-</v>
      </c>
    </row>
    <row r="51" spans="1:12" ht="15.75" thickBot="1" x14ac:dyDescent="0.3">
      <c r="A51" s="2" t="s">
        <v>176</v>
      </c>
      <c r="B51" s="2" t="e">
        <f>INDEX(#REF!,MATCH(A51,#REF!,0))</f>
        <v>#REF!</v>
      </c>
      <c r="C51" s="52"/>
      <c r="D51" s="4" t="e">
        <f>AVERAGEIF(#REF!,A51,#REF!)</f>
        <v>#REF!</v>
      </c>
      <c r="E51" s="4" t="e">
        <f t="shared" si="6"/>
        <v>#REF!</v>
      </c>
      <c r="F51" s="4" t="str">
        <f>IFERROR(INDEX('Market Results'!$B:$B,MATCH(B51,'Market Results'!A:A,0)),"-")</f>
        <v>-</v>
      </c>
      <c r="G51" s="43" t="str">
        <f t="shared" si="7"/>
        <v>-</v>
      </c>
      <c r="H51" s="4" t="e">
        <f t="shared" si="8"/>
        <v>#REF!</v>
      </c>
      <c r="I51" s="4" t="str">
        <f>IFERROR(INDEX('Market Results'!$F:$F,MATCH(A51,'Market Results'!A:A,0)),"-")</f>
        <v>-</v>
      </c>
      <c r="J51" s="44" t="str">
        <f t="shared" si="9"/>
        <v>-</v>
      </c>
      <c r="L51" s="60" t="str">
        <f t="shared" si="5"/>
        <v>-</v>
      </c>
    </row>
    <row r="52" spans="1:12" ht="15.75" thickBot="1" x14ac:dyDescent="0.3">
      <c r="A52" s="2" t="s">
        <v>37</v>
      </c>
      <c r="B52" s="2" t="e">
        <f>INDEX(#REF!,MATCH(A52,#REF!,0))</f>
        <v>#REF!</v>
      </c>
      <c r="C52" s="52"/>
      <c r="D52" s="4" t="e">
        <f>AVERAGEIF(#REF!,A52,#REF!)</f>
        <v>#REF!</v>
      </c>
      <c r="E52" s="4" t="e">
        <f t="shared" si="6"/>
        <v>#REF!</v>
      </c>
      <c r="F52" s="4" t="str">
        <f>IFERROR(INDEX('Market Results'!$B:$B,MATCH(B52,'Market Results'!A:A,0)),"-")</f>
        <v>-</v>
      </c>
      <c r="G52" s="43" t="str">
        <f t="shared" si="7"/>
        <v>-</v>
      </c>
      <c r="H52" s="4" t="e">
        <f t="shared" si="8"/>
        <v>#REF!</v>
      </c>
      <c r="I52" s="4" t="str">
        <f>IFERROR(INDEX('Market Results'!$F:$F,MATCH(A52,'Market Results'!A:A,0)),"-")</f>
        <v>-</v>
      </c>
      <c r="J52" s="44" t="str">
        <f t="shared" si="9"/>
        <v>-</v>
      </c>
      <c r="L52" s="60" t="str">
        <f t="shared" si="5"/>
        <v>-</v>
      </c>
    </row>
    <row r="53" spans="1:12" ht="15.75" thickBot="1" x14ac:dyDescent="0.3">
      <c r="A53" s="2" t="s">
        <v>177</v>
      </c>
      <c r="B53" s="2" t="e">
        <f>INDEX(#REF!,MATCH(A53,#REF!,0))</f>
        <v>#REF!</v>
      </c>
      <c r="C53" s="52"/>
      <c r="D53" s="4" t="e">
        <f>AVERAGEIF(#REF!,A53,#REF!)</f>
        <v>#REF!</v>
      </c>
      <c r="E53" s="4" t="e">
        <f t="shared" si="6"/>
        <v>#REF!</v>
      </c>
      <c r="F53" s="4" t="str">
        <f>IFERROR(INDEX('Market Results'!$B:$B,MATCH(B53,'Market Results'!A:A,0)),"-")</f>
        <v>-</v>
      </c>
      <c r="G53" s="43" t="str">
        <f t="shared" si="7"/>
        <v>-</v>
      </c>
      <c r="H53" s="4" t="e">
        <f t="shared" si="8"/>
        <v>#REF!</v>
      </c>
      <c r="I53" s="4" t="str">
        <f>IFERROR(INDEX('Market Results'!$F:$F,MATCH(A53,'Market Results'!A:A,0)),"-")</f>
        <v>-</v>
      </c>
      <c r="J53" s="44" t="str">
        <f t="shared" si="9"/>
        <v>-</v>
      </c>
      <c r="L53" s="60" t="str">
        <f t="shared" si="5"/>
        <v>-</v>
      </c>
    </row>
    <row r="54" spans="1:12" ht="15.75" thickBot="1" x14ac:dyDescent="0.3">
      <c r="A54" s="2" t="s">
        <v>178</v>
      </c>
      <c r="B54" s="2" t="e">
        <f>INDEX(#REF!,MATCH(A54,#REF!,0))</f>
        <v>#REF!</v>
      </c>
      <c r="C54" s="52"/>
      <c r="D54" s="4" t="e">
        <f>AVERAGEIF(#REF!,A54,#REF!)</f>
        <v>#REF!</v>
      </c>
      <c r="E54" s="4" t="e">
        <f t="shared" si="6"/>
        <v>#REF!</v>
      </c>
      <c r="F54" s="4" t="str">
        <f>IFERROR(INDEX('Market Results'!$B:$B,MATCH(B54,'Market Results'!A:A,0)),"-")</f>
        <v>-</v>
      </c>
      <c r="G54" s="43" t="str">
        <f t="shared" si="7"/>
        <v>-</v>
      </c>
      <c r="H54" s="4" t="e">
        <f t="shared" si="8"/>
        <v>#REF!</v>
      </c>
      <c r="I54" s="4" t="str">
        <f>IFERROR(INDEX('Market Results'!$F:$F,MATCH(A54,'Market Results'!A:A,0)),"-")</f>
        <v>-</v>
      </c>
      <c r="J54" s="44" t="str">
        <f t="shared" si="9"/>
        <v>-</v>
      </c>
      <c r="L54" s="60" t="str">
        <f t="shared" si="5"/>
        <v>-</v>
      </c>
    </row>
    <row r="55" spans="1:12" ht="15.75" thickBot="1" x14ac:dyDescent="0.3">
      <c r="A55" s="2" t="s">
        <v>50</v>
      </c>
      <c r="B55" s="2" t="e">
        <f>INDEX(#REF!,MATCH(A55,#REF!,0))</f>
        <v>#REF!</v>
      </c>
      <c r="C55" s="52"/>
      <c r="D55" s="4" t="e">
        <f>AVERAGEIF(#REF!,A55,#REF!)</f>
        <v>#REF!</v>
      </c>
      <c r="E55" s="4" t="e">
        <f t="shared" si="6"/>
        <v>#REF!</v>
      </c>
      <c r="F55" s="4" t="str">
        <f>IFERROR(INDEX('Market Results'!$B:$B,MATCH(B55,'Market Results'!A:A,0)),"-")</f>
        <v>-</v>
      </c>
      <c r="G55" s="43" t="str">
        <f t="shared" si="7"/>
        <v>-</v>
      </c>
      <c r="H55" s="4" t="e">
        <f t="shared" si="8"/>
        <v>#REF!</v>
      </c>
      <c r="I55" s="4" t="str">
        <f>IFERROR(INDEX('Market Results'!$F:$F,MATCH(A55,'Market Results'!A:A,0)),"-")</f>
        <v>-</v>
      </c>
      <c r="J55" s="44" t="str">
        <f t="shared" si="9"/>
        <v>-</v>
      </c>
      <c r="L55" s="60" t="str">
        <f t="shared" si="5"/>
        <v>-</v>
      </c>
    </row>
    <row r="56" spans="1:12" ht="15.75" thickBot="1" x14ac:dyDescent="0.3">
      <c r="A56" s="2" t="s">
        <v>179</v>
      </c>
      <c r="B56" s="2" t="e">
        <f>INDEX(#REF!,MATCH(A56,#REF!,0))</f>
        <v>#REF!</v>
      </c>
      <c r="C56" s="52"/>
      <c r="D56" s="4" t="e">
        <f>AVERAGEIF(#REF!,A56,#REF!)</f>
        <v>#REF!</v>
      </c>
      <c r="E56" s="4" t="e">
        <f t="shared" si="6"/>
        <v>#REF!</v>
      </c>
      <c r="F56" s="4" t="str">
        <f>IFERROR(INDEX('Market Results'!$B:$B,MATCH(B56,'Market Results'!A:A,0)),"-")</f>
        <v>-</v>
      </c>
      <c r="G56" s="43" t="str">
        <f t="shared" si="7"/>
        <v>-</v>
      </c>
      <c r="H56" s="4" t="e">
        <f t="shared" si="8"/>
        <v>#REF!</v>
      </c>
      <c r="I56" s="4" t="str">
        <f>IFERROR(INDEX('Market Results'!$F:$F,MATCH(A56,'Market Results'!A:A,0)),"-")</f>
        <v>-</v>
      </c>
      <c r="J56" s="44" t="str">
        <f t="shared" si="9"/>
        <v>-</v>
      </c>
      <c r="L56" s="60" t="str">
        <f t="shared" si="5"/>
        <v>-</v>
      </c>
    </row>
    <row r="57" spans="1:12" ht="15.75" thickBot="1" x14ac:dyDescent="0.3">
      <c r="A57" s="2" t="s">
        <v>103</v>
      </c>
      <c r="B57" s="2" t="e">
        <f>INDEX(#REF!,MATCH(A57,#REF!,0))</f>
        <v>#REF!</v>
      </c>
      <c r="C57" s="52"/>
      <c r="D57" s="4" t="e">
        <f>AVERAGEIF(#REF!,A57,#REF!)</f>
        <v>#REF!</v>
      </c>
      <c r="E57" s="4" t="e">
        <f t="shared" si="6"/>
        <v>#REF!</v>
      </c>
      <c r="F57" s="4" t="str">
        <f>IFERROR(INDEX('Market Results'!$B:$B,MATCH(B57,'Market Results'!A:A,0)),"-")</f>
        <v>-</v>
      </c>
      <c r="G57" s="43" t="str">
        <f t="shared" si="7"/>
        <v>-</v>
      </c>
      <c r="H57" s="4" t="e">
        <f t="shared" si="8"/>
        <v>#REF!</v>
      </c>
      <c r="I57" s="4" t="str">
        <f>IFERROR(INDEX('Market Results'!$F:$F,MATCH(A57,'Market Results'!A:A,0)),"-")</f>
        <v>-</v>
      </c>
      <c r="J57" s="44" t="str">
        <f t="shared" si="9"/>
        <v>-</v>
      </c>
      <c r="L57" s="60" t="str">
        <f t="shared" si="5"/>
        <v>-</v>
      </c>
    </row>
    <row r="58" spans="1:12" ht="15.75" thickBot="1" x14ac:dyDescent="0.3">
      <c r="A58" s="2" t="s">
        <v>45</v>
      </c>
      <c r="B58" s="2" t="e">
        <f>INDEX(#REF!,MATCH(A58,#REF!,0))</f>
        <v>#REF!</v>
      </c>
      <c r="C58" s="52"/>
      <c r="D58" s="4" t="e">
        <f>AVERAGEIF(#REF!,A58,#REF!)</f>
        <v>#REF!</v>
      </c>
      <c r="E58" s="4" t="e">
        <f t="shared" si="6"/>
        <v>#REF!</v>
      </c>
      <c r="F58" s="4" t="str">
        <f>IFERROR(INDEX('Market Results'!$B:$B,MATCH(B58,'Market Results'!A:A,0)),"-")</f>
        <v>-</v>
      </c>
      <c r="G58" s="43" t="str">
        <f t="shared" si="7"/>
        <v>-</v>
      </c>
      <c r="H58" s="4" t="e">
        <f t="shared" si="8"/>
        <v>#REF!</v>
      </c>
      <c r="I58" s="4" t="str">
        <f>IFERROR(INDEX('Market Results'!$F:$F,MATCH(A58,'Market Results'!A:A,0)),"-")</f>
        <v>-</v>
      </c>
      <c r="J58" s="44" t="str">
        <f t="shared" si="9"/>
        <v>-</v>
      </c>
      <c r="L58" s="60" t="str">
        <f t="shared" si="5"/>
        <v>-</v>
      </c>
    </row>
    <row r="59" spans="1:12" ht="15.75" thickBot="1" x14ac:dyDescent="0.3">
      <c r="A59" s="2" t="s">
        <v>180</v>
      </c>
      <c r="B59" s="2" t="e">
        <f>INDEX(#REF!,MATCH(A59,#REF!,0))</f>
        <v>#REF!</v>
      </c>
      <c r="C59" s="52"/>
      <c r="D59" s="4" t="e">
        <f>AVERAGEIF(#REF!,A59,#REF!)</f>
        <v>#REF!</v>
      </c>
      <c r="E59" s="4" t="e">
        <f t="shared" si="6"/>
        <v>#REF!</v>
      </c>
      <c r="F59" s="4" t="str">
        <f>IFERROR(INDEX('Market Results'!$B:$B,MATCH(B59,'Market Results'!A:A,0)),"-")</f>
        <v>-</v>
      </c>
      <c r="G59" s="43" t="str">
        <f t="shared" si="7"/>
        <v>-</v>
      </c>
      <c r="H59" s="4" t="e">
        <f t="shared" si="8"/>
        <v>#REF!</v>
      </c>
      <c r="I59" s="4" t="str">
        <f>IFERROR(INDEX('Market Results'!$F:$F,MATCH(A59,'Market Results'!A:A,0)),"-")</f>
        <v>-</v>
      </c>
      <c r="J59" s="44" t="str">
        <f t="shared" si="9"/>
        <v>-</v>
      </c>
      <c r="L59" s="60" t="str">
        <f t="shared" si="5"/>
        <v>-</v>
      </c>
    </row>
    <row r="60" spans="1:12" ht="15.75" thickBot="1" x14ac:dyDescent="0.3">
      <c r="A60" s="2" t="s">
        <v>52</v>
      </c>
      <c r="B60" s="2" t="e">
        <f>INDEX(#REF!,MATCH(A60,#REF!,0))</f>
        <v>#REF!</v>
      </c>
      <c r="C60" s="52"/>
      <c r="D60" s="4" t="e">
        <f>AVERAGEIF(#REF!,A60,#REF!)</f>
        <v>#REF!</v>
      </c>
      <c r="E60" s="4" t="e">
        <f t="shared" si="6"/>
        <v>#REF!</v>
      </c>
      <c r="F60" s="4" t="str">
        <f>IFERROR(INDEX('Market Results'!$B:$B,MATCH(B60,'Market Results'!A:A,0)),"-")</f>
        <v>-</v>
      </c>
      <c r="G60" s="43" t="str">
        <f t="shared" si="7"/>
        <v>-</v>
      </c>
      <c r="H60" s="4" t="e">
        <f t="shared" si="8"/>
        <v>#REF!</v>
      </c>
      <c r="I60" s="4" t="str">
        <f>IFERROR(INDEX('Market Results'!$F:$F,MATCH(A60,'Market Results'!A:A,0)),"-")</f>
        <v>-</v>
      </c>
      <c r="J60" s="44" t="str">
        <f t="shared" si="9"/>
        <v>-</v>
      </c>
      <c r="L60" s="60" t="str">
        <f t="shared" si="5"/>
        <v>-</v>
      </c>
    </row>
    <row r="61" spans="1:12" ht="15.75" thickBot="1" x14ac:dyDescent="0.3">
      <c r="A61" s="2" t="s">
        <v>47</v>
      </c>
      <c r="B61" s="2" t="e">
        <f>INDEX(#REF!,MATCH(A61,#REF!,0))</f>
        <v>#REF!</v>
      </c>
      <c r="C61" s="52"/>
      <c r="D61" s="4" t="e">
        <f>AVERAGEIF(#REF!,A61,#REF!)</f>
        <v>#REF!</v>
      </c>
      <c r="E61" s="4" t="e">
        <f t="shared" si="6"/>
        <v>#REF!</v>
      </c>
      <c r="F61" s="4" t="str">
        <f>IFERROR(INDEX('Market Results'!$B:$B,MATCH(B61,'Market Results'!A:A,0)),"-")</f>
        <v>-</v>
      </c>
      <c r="G61" s="43" t="str">
        <f t="shared" si="7"/>
        <v>-</v>
      </c>
      <c r="H61" s="4" t="e">
        <f t="shared" si="8"/>
        <v>#REF!</v>
      </c>
      <c r="I61" s="4" t="str">
        <f>IFERROR(INDEX('Market Results'!$F:$F,MATCH(A61,'Market Results'!A:A,0)),"-")</f>
        <v>-</v>
      </c>
      <c r="J61" s="44" t="str">
        <f t="shared" si="9"/>
        <v>-</v>
      </c>
      <c r="L61" s="60" t="str">
        <f t="shared" si="5"/>
        <v>-</v>
      </c>
    </row>
    <row r="62" spans="1:12" ht="15.75" thickBot="1" x14ac:dyDescent="0.3">
      <c r="A62" s="2" t="s">
        <v>121</v>
      </c>
      <c r="B62" s="2" t="e">
        <f>INDEX(#REF!,MATCH(A62,#REF!,0))</f>
        <v>#REF!</v>
      </c>
      <c r="C62" s="52"/>
      <c r="D62" s="4" t="e">
        <f>AVERAGEIF(#REF!,A62,#REF!)</f>
        <v>#REF!</v>
      </c>
      <c r="E62" s="4" t="e">
        <f t="shared" si="6"/>
        <v>#REF!</v>
      </c>
      <c r="F62" s="4" t="str">
        <f>IFERROR(INDEX('Market Results'!$B:$B,MATCH(B62,'Market Results'!A:A,0)),"-")</f>
        <v>-</v>
      </c>
      <c r="G62" s="43" t="str">
        <f t="shared" si="7"/>
        <v>-</v>
      </c>
      <c r="H62" s="4" t="e">
        <f t="shared" si="8"/>
        <v>#REF!</v>
      </c>
      <c r="I62" s="4" t="str">
        <f>IFERROR(INDEX('Market Results'!$F:$F,MATCH(A62,'Market Results'!A:A,0)),"-")</f>
        <v>-</v>
      </c>
      <c r="J62" s="44" t="str">
        <f t="shared" si="9"/>
        <v>-</v>
      </c>
      <c r="L62" s="60" t="str">
        <f t="shared" si="5"/>
        <v>-</v>
      </c>
    </row>
    <row r="63" spans="1:12" ht="15.75" thickBot="1" x14ac:dyDescent="0.3">
      <c r="A63" s="2" t="s">
        <v>31</v>
      </c>
      <c r="B63" s="2" t="e">
        <f>INDEX(#REF!,MATCH(A63,#REF!,0))</f>
        <v>#REF!</v>
      </c>
      <c r="C63" s="52"/>
      <c r="D63" s="4" t="e">
        <f>AVERAGEIF(#REF!,A63,#REF!)</f>
        <v>#REF!</v>
      </c>
      <c r="E63" s="4" t="e">
        <f t="shared" si="6"/>
        <v>#REF!</v>
      </c>
      <c r="F63" s="4" t="str">
        <f>IFERROR(INDEX('Market Results'!$B:$B,MATCH(B63,'Market Results'!A:A,0)),"-")</f>
        <v>-</v>
      </c>
      <c r="G63" s="43" t="str">
        <f t="shared" si="7"/>
        <v>-</v>
      </c>
      <c r="H63" s="4" t="e">
        <f t="shared" si="8"/>
        <v>#REF!</v>
      </c>
      <c r="I63" s="4" t="str">
        <f>IFERROR(INDEX('Market Results'!$F:$F,MATCH(A63,'Market Results'!A:A,0)),"-")</f>
        <v>-</v>
      </c>
      <c r="J63" s="44" t="str">
        <f t="shared" si="9"/>
        <v>-</v>
      </c>
      <c r="L63" s="60" t="str">
        <f t="shared" si="5"/>
        <v>-</v>
      </c>
    </row>
    <row r="64" spans="1:12" ht="15.75" thickBot="1" x14ac:dyDescent="0.3">
      <c r="A64" s="2" t="s">
        <v>183</v>
      </c>
      <c r="B64" s="2" t="e">
        <f>INDEX(#REF!,MATCH(A64,#REF!,0))</f>
        <v>#REF!</v>
      </c>
      <c r="C64" s="52"/>
      <c r="D64" s="4" t="e">
        <f>AVERAGEIF(#REF!,A64,#REF!)</f>
        <v>#REF!</v>
      </c>
      <c r="E64" s="4" t="e">
        <f t="shared" si="6"/>
        <v>#REF!</v>
      </c>
      <c r="F64" s="4" t="str">
        <f>IFERROR(INDEX('Market Results'!$B:$B,MATCH(B64,'Market Results'!A:A,0)),"-")</f>
        <v>-</v>
      </c>
      <c r="G64" s="43" t="str">
        <f t="shared" si="7"/>
        <v>-</v>
      </c>
      <c r="H64" s="4" t="e">
        <f t="shared" si="8"/>
        <v>#REF!</v>
      </c>
      <c r="I64" s="4" t="str">
        <f>IFERROR(INDEX('Market Results'!$F:$F,MATCH(A64,'Market Results'!A:A,0)),"-")</f>
        <v>-</v>
      </c>
      <c r="J64" s="44" t="str">
        <f t="shared" si="9"/>
        <v>-</v>
      </c>
      <c r="L64" s="60" t="str">
        <f t="shared" si="5"/>
        <v>-</v>
      </c>
    </row>
    <row r="65" spans="1:12" ht="15.75" thickBot="1" x14ac:dyDescent="0.3">
      <c r="A65" s="2" t="s">
        <v>184</v>
      </c>
      <c r="B65" s="2" t="e">
        <f>INDEX(#REF!,MATCH(A65,#REF!,0))</f>
        <v>#REF!</v>
      </c>
      <c r="C65" s="52"/>
      <c r="D65" s="4" t="e">
        <f>AVERAGEIF(#REF!,A65,#REF!)</f>
        <v>#REF!</v>
      </c>
      <c r="E65" s="4" t="e">
        <f t="shared" si="6"/>
        <v>#REF!</v>
      </c>
      <c r="F65" s="4" t="str">
        <f>IFERROR(INDEX('Market Results'!$B:$B,MATCH(B65,'Market Results'!A:A,0)),"-")</f>
        <v>-</v>
      </c>
      <c r="G65" s="43" t="str">
        <f t="shared" si="7"/>
        <v>-</v>
      </c>
      <c r="H65" s="4" t="e">
        <f t="shared" si="8"/>
        <v>#REF!</v>
      </c>
      <c r="I65" s="4" t="str">
        <f>IFERROR(INDEX('Market Results'!$F:$F,MATCH(A65,'Market Results'!A:A,0)),"-")</f>
        <v>-</v>
      </c>
      <c r="J65" s="44" t="str">
        <f t="shared" si="9"/>
        <v>-</v>
      </c>
      <c r="L65" s="60" t="str">
        <f t="shared" si="5"/>
        <v>-</v>
      </c>
    </row>
    <row r="66" spans="1:12" ht="15.75" thickBot="1" x14ac:dyDescent="0.3">
      <c r="A66" s="2" t="s">
        <v>185</v>
      </c>
      <c r="B66" s="2" t="e">
        <f>INDEX(#REF!,MATCH(A66,#REF!,0))</f>
        <v>#REF!</v>
      </c>
      <c r="C66" s="52"/>
      <c r="D66" s="4" t="e">
        <f>AVERAGEIF(#REF!,A66,#REF!)</f>
        <v>#REF!</v>
      </c>
      <c r="E66" s="4" t="e">
        <f t="shared" si="6"/>
        <v>#REF!</v>
      </c>
      <c r="F66" s="4" t="str">
        <f>IFERROR(INDEX('Market Results'!$B:$B,MATCH(B66,'Market Results'!A:A,0)),"-")</f>
        <v>-</v>
      </c>
      <c r="G66" s="43" t="str">
        <f t="shared" si="7"/>
        <v>-</v>
      </c>
      <c r="H66" s="4" t="e">
        <f t="shared" si="8"/>
        <v>#REF!</v>
      </c>
      <c r="I66" s="4" t="str">
        <f>IFERROR(INDEX('Market Results'!$F:$F,MATCH(A66,'Market Results'!A:A,0)),"-")</f>
        <v>-</v>
      </c>
      <c r="J66" s="44" t="str">
        <f t="shared" si="9"/>
        <v>-</v>
      </c>
      <c r="L66" s="60" t="str">
        <f t="shared" si="5"/>
        <v>-</v>
      </c>
    </row>
    <row r="67" spans="1:12" ht="15.75" thickBot="1" x14ac:dyDescent="0.3">
      <c r="A67" s="2" t="s">
        <v>42</v>
      </c>
      <c r="B67" s="2" t="e">
        <f>INDEX(#REF!,MATCH(A67,#REF!,0))</f>
        <v>#REF!</v>
      </c>
      <c r="C67" s="52"/>
      <c r="D67" s="4" t="e">
        <f>AVERAGEIF(#REF!,A67,#REF!)</f>
        <v>#REF!</v>
      </c>
      <c r="E67" s="4" t="e">
        <f t="shared" si="6"/>
        <v>#REF!</v>
      </c>
      <c r="F67" s="4" t="str">
        <f>IFERROR(INDEX('Market Results'!$B:$B,MATCH(B67,'Market Results'!A:A,0)),"-")</f>
        <v>-</v>
      </c>
      <c r="G67" s="43" t="str">
        <f t="shared" si="7"/>
        <v>-</v>
      </c>
      <c r="H67" s="4" t="e">
        <f t="shared" si="8"/>
        <v>#REF!</v>
      </c>
      <c r="I67" s="4" t="str">
        <f>IFERROR(INDEX('Market Results'!$F:$F,MATCH(A67,'Market Results'!A:A,0)),"-")</f>
        <v>-</v>
      </c>
      <c r="J67" s="44" t="str">
        <f t="shared" si="9"/>
        <v>-</v>
      </c>
      <c r="L67" s="60" t="str">
        <f t="shared" si="5"/>
        <v>-</v>
      </c>
    </row>
    <row r="68" spans="1:12" ht="15.75" thickBot="1" x14ac:dyDescent="0.3">
      <c r="A68" s="2" t="s">
        <v>90</v>
      </c>
      <c r="B68" s="2" t="e">
        <f>INDEX(#REF!,MATCH(A68,#REF!,0))</f>
        <v>#REF!</v>
      </c>
      <c r="C68" s="52"/>
      <c r="D68" s="4" t="e">
        <f>AVERAGEIF(#REF!,A68,#REF!)</f>
        <v>#REF!</v>
      </c>
      <c r="E68" s="4" t="e">
        <f t="shared" si="6"/>
        <v>#REF!</v>
      </c>
      <c r="F68" s="4" t="str">
        <f>IFERROR(INDEX('Market Results'!$B:$B,MATCH(B68,'Market Results'!A:A,0)),"-")</f>
        <v>-</v>
      </c>
      <c r="G68" s="43" t="str">
        <f t="shared" si="7"/>
        <v>-</v>
      </c>
      <c r="H68" s="4" t="e">
        <f t="shared" si="8"/>
        <v>#REF!</v>
      </c>
      <c r="I68" s="4" t="str">
        <f>IFERROR(INDEX('Market Results'!$F:$F,MATCH(A68,'Market Results'!A:A,0)),"-")</f>
        <v>-</v>
      </c>
      <c r="J68" s="44" t="str">
        <f t="shared" si="9"/>
        <v>-</v>
      </c>
      <c r="L68" s="60" t="str">
        <f t="shared" si="5"/>
        <v>-</v>
      </c>
    </row>
    <row r="69" spans="1:12" ht="15.75" thickBot="1" x14ac:dyDescent="0.3">
      <c r="A69" s="2" t="s">
        <v>187</v>
      </c>
      <c r="B69" s="2" t="e">
        <f>INDEX(#REF!,MATCH(A69,#REF!,0))</f>
        <v>#REF!</v>
      </c>
      <c r="C69" s="52"/>
      <c r="D69" s="4" t="e">
        <f>AVERAGEIF(#REF!,A69,#REF!)</f>
        <v>#REF!</v>
      </c>
      <c r="E69" s="4" t="e">
        <f t="shared" si="6"/>
        <v>#REF!</v>
      </c>
      <c r="F69" s="4" t="str">
        <f>IFERROR(INDEX('Market Results'!$B:$B,MATCH(B69,'Market Results'!A:A,0)),"-")</f>
        <v>-</v>
      </c>
      <c r="G69" s="43" t="str">
        <f t="shared" si="7"/>
        <v>-</v>
      </c>
      <c r="H69" s="4" t="e">
        <f t="shared" si="8"/>
        <v>#REF!</v>
      </c>
      <c r="I69" s="4" t="str">
        <f>IFERROR(INDEX('Market Results'!$F:$F,MATCH(A69,'Market Results'!A:A,0)),"-")</f>
        <v>-</v>
      </c>
      <c r="J69" s="44" t="str">
        <f t="shared" si="9"/>
        <v>-</v>
      </c>
      <c r="L69" s="60" t="str">
        <f t="shared" si="5"/>
        <v>-</v>
      </c>
    </row>
    <row r="70" spans="1:12" ht="15.75" thickBot="1" x14ac:dyDescent="0.3">
      <c r="A70" s="2" t="s">
        <v>188</v>
      </c>
      <c r="B70" s="2" t="e">
        <f>INDEX(#REF!,MATCH(A70,#REF!,0))</f>
        <v>#REF!</v>
      </c>
      <c r="C70" s="52"/>
      <c r="D70" s="4" t="e">
        <f>AVERAGEIF(#REF!,A70,#REF!)</f>
        <v>#REF!</v>
      </c>
      <c r="E70" s="4" t="e">
        <f t="shared" si="6"/>
        <v>#REF!</v>
      </c>
      <c r="F70" s="4" t="str">
        <f>IFERROR(INDEX('Market Results'!$B:$B,MATCH(B70,'Market Results'!A:A,0)),"-")</f>
        <v>-</v>
      </c>
      <c r="G70" s="43" t="str">
        <f t="shared" si="7"/>
        <v>-</v>
      </c>
      <c r="H70" s="4" t="e">
        <f t="shared" si="8"/>
        <v>#REF!</v>
      </c>
      <c r="I70" s="4" t="str">
        <f>IFERROR(INDEX('Market Results'!$F:$F,MATCH(A70,'Market Results'!A:A,0)),"-")</f>
        <v>-</v>
      </c>
      <c r="J70" s="44" t="str">
        <f t="shared" si="9"/>
        <v>-</v>
      </c>
      <c r="L70" s="60" t="str">
        <f t="shared" si="5"/>
        <v>-</v>
      </c>
    </row>
    <row r="71" spans="1:12" ht="15.75" thickBot="1" x14ac:dyDescent="0.3">
      <c r="A71" s="2" t="s">
        <v>189</v>
      </c>
      <c r="B71" s="2" t="e">
        <f>INDEX(#REF!,MATCH(A71,#REF!,0))</f>
        <v>#REF!</v>
      </c>
      <c r="C71" s="52"/>
      <c r="D71" s="4" t="e">
        <f>AVERAGEIF(#REF!,A71,#REF!)</f>
        <v>#REF!</v>
      </c>
      <c r="E71" s="4" t="e">
        <f t="shared" si="6"/>
        <v>#REF!</v>
      </c>
      <c r="F71" s="4" t="str">
        <f>IFERROR(INDEX('Market Results'!$B:$B,MATCH(B71,'Market Results'!A:A,0)),"-")</f>
        <v>-</v>
      </c>
      <c r="G71" s="43" t="str">
        <f t="shared" si="7"/>
        <v>-</v>
      </c>
      <c r="H71" s="4" t="e">
        <f t="shared" si="8"/>
        <v>#REF!</v>
      </c>
      <c r="I71" s="4" t="str">
        <f>IFERROR(INDEX('Market Results'!$F:$F,MATCH(A71,'Market Results'!A:A,0)),"-")</f>
        <v>-</v>
      </c>
      <c r="J71" s="44" t="str">
        <f t="shared" si="9"/>
        <v>-</v>
      </c>
      <c r="L71" s="60" t="str">
        <f t="shared" si="5"/>
        <v>-</v>
      </c>
    </row>
    <row r="72" spans="1:12" ht="15.75" thickBot="1" x14ac:dyDescent="0.3">
      <c r="A72" s="2" t="s">
        <v>190</v>
      </c>
      <c r="B72" s="2" t="e">
        <f>INDEX(#REF!,MATCH(A72,#REF!,0))</f>
        <v>#REF!</v>
      </c>
      <c r="C72" s="52"/>
      <c r="D72" s="4" t="e">
        <f>AVERAGEIF(#REF!,A72,#REF!)</f>
        <v>#REF!</v>
      </c>
      <c r="E72" s="4" t="e">
        <f t="shared" si="6"/>
        <v>#REF!</v>
      </c>
      <c r="F72" s="4" t="str">
        <f>IFERROR(INDEX('Market Results'!$B:$B,MATCH(B72,'Market Results'!A:A,0)),"-")</f>
        <v>-</v>
      </c>
      <c r="G72" s="43" t="str">
        <f t="shared" si="7"/>
        <v>-</v>
      </c>
      <c r="H72" s="4" t="e">
        <f t="shared" si="8"/>
        <v>#REF!</v>
      </c>
      <c r="I72" s="4" t="str">
        <f>IFERROR(INDEX('Market Results'!$F:$F,MATCH(A72,'Market Results'!A:A,0)),"-")</f>
        <v>-</v>
      </c>
      <c r="J72" s="44" t="str">
        <f t="shared" si="9"/>
        <v>-</v>
      </c>
      <c r="L72" s="60" t="str">
        <f t="shared" si="5"/>
        <v>-</v>
      </c>
    </row>
    <row r="73" spans="1:12" ht="15.75" thickBot="1" x14ac:dyDescent="0.3">
      <c r="A73" s="2" t="s">
        <v>191</v>
      </c>
      <c r="B73" s="2" t="e">
        <f>INDEX(#REF!,MATCH(A73,#REF!,0))</f>
        <v>#REF!</v>
      </c>
      <c r="C73" s="52"/>
      <c r="D73" s="4" t="e">
        <f>AVERAGEIF(#REF!,A73,#REF!)</f>
        <v>#REF!</v>
      </c>
      <c r="E73" s="4" t="e">
        <f t="shared" si="6"/>
        <v>#REF!</v>
      </c>
      <c r="F73" s="4" t="str">
        <f>IFERROR(INDEX('Market Results'!$B:$B,MATCH(B73,'Market Results'!A:A,0)),"-")</f>
        <v>-</v>
      </c>
      <c r="G73" s="43" t="str">
        <f t="shared" si="7"/>
        <v>-</v>
      </c>
      <c r="H73" s="4" t="e">
        <f t="shared" si="8"/>
        <v>#REF!</v>
      </c>
      <c r="I73" s="4" t="str">
        <f>IFERROR(INDEX('Market Results'!$F:$F,MATCH(A73,'Market Results'!A:A,0)),"-")</f>
        <v>-</v>
      </c>
      <c r="J73" s="44" t="str">
        <f t="shared" si="9"/>
        <v>-</v>
      </c>
      <c r="L73" s="60" t="str">
        <f t="shared" si="5"/>
        <v>-</v>
      </c>
    </row>
    <row r="74" spans="1:12" ht="15.75" thickBot="1" x14ac:dyDescent="0.3">
      <c r="A74" s="2" t="s">
        <v>193</v>
      </c>
      <c r="B74" s="2" t="e">
        <f>INDEX(#REF!,MATCH(A74,#REF!,0))</f>
        <v>#REF!</v>
      </c>
      <c r="C74" s="52"/>
      <c r="D74" s="4" t="e">
        <f>AVERAGEIF(#REF!,A74,#REF!)</f>
        <v>#REF!</v>
      </c>
      <c r="E74" s="4" t="e">
        <f t="shared" si="6"/>
        <v>#REF!</v>
      </c>
      <c r="F74" s="4" t="str">
        <f>IFERROR(INDEX('Market Results'!$B:$B,MATCH(B74,'Market Results'!A:A,0)),"-")</f>
        <v>-</v>
      </c>
      <c r="G74" s="43" t="str">
        <f t="shared" si="7"/>
        <v>-</v>
      </c>
      <c r="H74" s="4" t="e">
        <f t="shared" si="8"/>
        <v>#REF!</v>
      </c>
      <c r="I74" s="4" t="str">
        <f>IFERROR(INDEX('Market Results'!$F:$F,MATCH(A74,'Market Results'!A:A,0)),"-")</f>
        <v>-</v>
      </c>
      <c r="J74" s="44" t="str">
        <f t="shared" si="9"/>
        <v>-</v>
      </c>
      <c r="L74" s="60" t="str">
        <f t="shared" si="5"/>
        <v>-</v>
      </c>
    </row>
    <row r="75" spans="1:12" ht="15.75" thickBot="1" x14ac:dyDescent="0.3">
      <c r="A75" s="2" t="s">
        <v>75</v>
      </c>
      <c r="B75" s="2" t="e">
        <f>INDEX(#REF!,MATCH(A75,#REF!,0))</f>
        <v>#REF!</v>
      </c>
      <c r="C75" s="52"/>
      <c r="D75" s="4" t="e">
        <f>AVERAGEIF(#REF!,A75,#REF!)</f>
        <v>#REF!</v>
      </c>
      <c r="E75" s="4" t="e">
        <f t="shared" si="6"/>
        <v>#REF!</v>
      </c>
      <c r="F75" s="4" t="str">
        <f>IFERROR(INDEX('Market Results'!$B:$B,MATCH(B75,'Market Results'!A:A,0)),"-")</f>
        <v>-</v>
      </c>
      <c r="G75" s="43" t="str">
        <f t="shared" si="7"/>
        <v>-</v>
      </c>
      <c r="H75" s="4" t="e">
        <f t="shared" si="8"/>
        <v>#REF!</v>
      </c>
      <c r="I75" s="4" t="str">
        <f>IFERROR(INDEX('Market Results'!$F:$F,MATCH(A75,'Market Results'!A:A,0)),"-")</f>
        <v>-</v>
      </c>
      <c r="J75" s="44" t="str">
        <f t="shared" si="9"/>
        <v>-</v>
      </c>
      <c r="L75" s="60" t="str">
        <f t="shared" si="5"/>
        <v>-</v>
      </c>
    </row>
    <row r="76" spans="1:12" ht="15.75" thickBot="1" x14ac:dyDescent="0.3">
      <c r="A76" s="2" t="s">
        <v>194</v>
      </c>
      <c r="B76" s="2" t="e">
        <f>INDEX(#REF!,MATCH(A76,#REF!,0))</f>
        <v>#REF!</v>
      </c>
      <c r="C76" s="52"/>
      <c r="D76" s="4" t="e">
        <f>AVERAGEIF(#REF!,A76,#REF!)</f>
        <v>#REF!</v>
      </c>
      <c r="E76" s="4" t="e">
        <f t="shared" si="6"/>
        <v>#REF!</v>
      </c>
      <c r="F76" s="4" t="str">
        <f>IFERROR(INDEX('Market Results'!$B:$B,MATCH(B76,'Market Results'!A:A,0)),"-")</f>
        <v>-</v>
      </c>
      <c r="G76" s="43" t="str">
        <f t="shared" si="7"/>
        <v>-</v>
      </c>
      <c r="H76" s="4" t="e">
        <f t="shared" si="8"/>
        <v>#REF!</v>
      </c>
      <c r="I76" s="4" t="str">
        <f>IFERROR(INDEX('Market Results'!$F:$F,MATCH(A76,'Market Results'!A:A,0)),"-")</f>
        <v>-</v>
      </c>
      <c r="J76" s="44" t="str">
        <f t="shared" si="9"/>
        <v>-</v>
      </c>
      <c r="L76" s="60" t="str">
        <f t="shared" si="5"/>
        <v>-</v>
      </c>
    </row>
    <row r="77" spans="1:12" ht="15.75" thickBot="1" x14ac:dyDescent="0.3">
      <c r="A77" s="2" t="s">
        <v>196</v>
      </c>
      <c r="B77" s="2" t="e">
        <f>INDEX(#REF!,MATCH(A77,#REF!,0))</f>
        <v>#REF!</v>
      </c>
      <c r="C77" s="52"/>
      <c r="D77" s="4" t="e">
        <f>AVERAGEIF(#REF!,A77,#REF!)</f>
        <v>#REF!</v>
      </c>
      <c r="E77" s="4" t="e">
        <f t="shared" ref="E77:E108" si="10">INDEX($B$4:$B$10,MATCH(B77,$A$4:$A$10,0))</f>
        <v>#REF!</v>
      </c>
      <c r="F77" s="4" t="str">
        <f>IFERROR(INDEX('Market Results'!$B:$B,MATCH(B77,'Market Results'!A:A,0)),"-")</f>
        <v>-</v>
      </c>
      <c r="G77" s="43" t="str">
        <f t="shared" ref="G77:G108" si="11">IFERROR((E77-F77)/E77,"-")</f>
        <v>-</v>
      </c>
      <c r="H77" s="4" t="e">
        <f t="shared" ref="H77:H108" si="12">INDEX($C$4:$C$10,MATCH(B77,$A$4:$A$10,0))</f>
        <v>#REF!</v>
      </c>
      <c r="I77" s="4" t="str">
        <f>IFERROR(INDEX('Market Results'!$F:$F,MATCH(A77,'Market Results'!A:A,0)),"-")</f>
        <v>-</v>
      </c>
      <c r="J77" s="44" t="str">
        <f t="shared" ref="J77:J108" si="13">IFERROR((H77-I77)/H77,"-")</f>
        <v>-</v>
      </c>
      <c r="L77" s="60" t="str">
        <f t="shared" si="5"/>
        <v>-</v>
      </c>
    </row>
    <row r="78" spans="1:12" ht="15.75" thickBot="1" x14ac:dyDescent="0.3">
      <c r="A78" s="2" t="s">
        <v>197</v>
      </c>
      <c r="B78" s="2" t="e">
        <f>INDEX(#REF!,MATCH(A78,#REF!,0))</f>
        <v>#REF!</v>
      </c>
      <c r="C78" s="52"/>
      <c r="D78" s="4" t="e">
        <f>AVERAGEIF(#REF!,A78,#REF!)</f>
        <v>#REF!</v>
      </c>
      <c r="E78" s="4" t="e">
        <f t="shared" si="10"/>
        <v>#REF!</v>
      </c>
      <c r="F78" s="4" t="str">
        <f>IFERROR(INDEX('Market Results'!$B:$B,MATCH(B78,'Market Results'!A:A,0)),"-")</f>
        <v>-</v>
      </c>
      <c r="G78" s="43" t="str">
        <f t="shared" si="11"/>
        <v>-</v>
      </c>
      <c r="H78" s="4" t="e">
        <f t="shared" si="12"/>
        <v>#REF!</v>
      </c>
      <c r="I78" s="4" t="str">
        <f>IFERROR(INDEX('Market Results'!$F:$F,MATCH(A78,'Market Results'!A:A,0)),"-")</f>
        <v>-</v>
      </c>
      <c r="J78" s="44" t="str">
        <f t="shared" si="13"/>
        <v>-</v>
      </c>
      <c r="L78" s="60" t="str">
        <f t="shared" ref="L78:L139" si="14">IFERROR((H78-E78)/E78,"-")</f>
        <v>-</v>
      </c>
    </row>
    <row r="79" spans="1:12" ht="15.75" thickBot="1" x14ac:dyDescent="0.3">
      <c r="A79" s="2" t="s">
        <v>198</v>
      </c>
      <c r="B79" s="2" t="e">
        <f>INDEX(#REF!,MATCH(A79,#REF!,0))</f>
        <v>#REF!</v>
      </c>
      <c r="C79" s="52"/>
      <c r="D79" s="4" t="e">
        <f>AVERAGEIF(#REF!,A79,#REF!)</f>
        <v>#REF!</v>
      </c>
      <c r="E79" s="4" t="e">
        <f t="shared" si="10"/>
        <v>#REF!</v>
      </c>
      <c r="F79" s="4" t="str">
        <f>IFERROR(INDEX('Market Results'!$B:$B,MATCH(B79,'Market Results'!A:A,0)),"-")</f>
        <v>-</v>
      </c>
      <c r="G79" s="43" t="str">
        <f t="shared" si="11"/>
        <v>-</v>
      </c>
      <c r="H79" s="4" t="e">
        <f t="shared" si="12"/>
        <v>#REF!</v>
      </c>
      <c r="I79" s="4" t="str">
        <f>IFERROR(INDEX('Market Results'!$F:$F,MATCH(A79,'Market Results'!A:A,0)),"-")</f>
        <v>-</v>
      </c>
      <c r="J79" s="44" t="str">
        <f t="shared" si="13"/>
        <v>-</v>
      </c>
      <c r="L79" s="60" t="str">
        <f t="shared" si="14"/>
        <v>-</v>
      </c>
    </row>
    <row r="80" spans="1:12" ht="15.75" thickBot="1" x14ac:dyDescent="0.3">
      <c r="A80" s="2" t="s">
        <v>199</v>
      </c>
      <c r="B80" s="2" t="e">
        <f>INDEX(#REF!,MATCH(A80,#REF!,0))</f>
        <v>#REF!</v>
      </c>
      <c r="C80" s="52"/>
      <c r="D80" s="4" t="e">
        <f>AVERAGEIF(#REF!,A80,#REF!)</f>
        <v>#REF!</v>
      </c>
      <c r="E80" s="4" t="e">
        <f t="shared" si="10"/>
        <v>#REF!</v>
      </c>
      <c r="F80" s="4" t="str">
        <f>IFERROR(INDEX('Market Results'!$B:$B,MATCH(B80,'Market Results'!A:A,0)),"-")</f>
        <v>-</v>
      </c>
      <c r="G80" s="43" t="str">
        <f t="shared" si="11"/>
        <v>-</v>
      </c>
      <c r="H80" s="4" t="e">
        <f t="shared" si="12"/>
        <v>#REF!</v>
      </c>
      <c r="I80" s="4" t="str">
        <f>IFERROR(INDEX('Market Results'!$F:$F,MATCH(A80,'Market Results'!A:A,0)),"-")</f>
        <v>-</v>
      </c>
      <c r="J80" s="44" t="str">
        <f t="shared" si="13"/>
        <v>-</v>
      </c>
      <c r="L80" s="60" t="str">
        <f t="shared" si="14"/>
        <v>-</v>
      </c>
    </row>
    <row r="81" spans="1:12" ht="15.75" thickBot="1" x14ac:dyDescent="0.3">
      <c r="A81" s="2" t="s">
        <v>200</v>
      </c>
      <c r="B81" s="2" t="e">
        <f>INDEX(#REF!,MATCH(A81,#REF!,0))</f>
        <v>#REF!</v>
      </c>
      <c r="C81" s="52"/>
      <c r="D81" s="4" t="e">
        <f>AVERAGEIF(#REF!,A81,#REF!)</f>
        <v>#REF!</v>
      </c>
      <c r="E81" s="4" t="e">
        <f t="shared" si="10"/>
        <v>#REF!</v>
      </c>
      <c r="F81" s="4" t="str">
        <f>IFERROR(INDEX('Market Results'!$B:$B,MATCH(B81,'Market Results'!A:A,0)),"-")</f>
        <v>-</v>
      </c>
      <c r="G81" s="43" t="str">
        <f t="shared" si="11"/>
        <v>-</v>
      </c>
      <c r="H81" s="4" t="e">
        <f t="shared" si="12"/>
        <v>#REF!</v>
      </c>
      <c r="I81" s="4" t="str">
        <f>IFERROR(INDEX('Market Results'!$F:$F,MATCH(A81,'Market Results'!A:A,0)),"-")</f>
        <v>-</v>
      </c>
      <c r="J81" s="44" t="str">
        <f t="shared" si="13"/>
        <v>-</v>
      </c>
      <c r="L81" s="60" t="str">
        <f t="shared" si="14"/>
        <v>-</v>
      </c>
    </row>
    <row r="82" spans="1:12" ht="15.75" thickBot="1" x14ac:dyDescent="0.3">
      <c r="A82" s="2" t="s">
        <v>53</v>
      </c>
      <c r="B82" s="2" t="e">
        <f>INDEX(#REF!,MATCH(A82,#REF!,0))</f>
        <v>#REF!</v>
      </c>
      <c r="C82" s="52"/>
      <c r="D82" s="4" t="e">
        <f>AVERAGEIF(#REF!,A82,#REF!)</f>
        <v>#REF!</v>
      </c>
      <c r="E82" s="4" t="e">
        <f t="shared" si="10"/>
        <v>#REF!</v>
      </c>
      <c r="F82" s="4" t="str">
        <f>IFERROR(INDEX('Market Results'!$B:$B,MATCH(B82,'Market Results'!A:A,0)),"-")</f>
        <v>-</v>
      </c>
      <c r="G82" s="43" t="str">
        <f t="shared" si="11"/>
        <v>-</v>
      </c>
      <c r="H82" s="4" t="e">
        <f t="shared" si="12"/>
        <v>#REF!</v>
      </c>
      <c r="I82" s="4" t="str">
        <f>IFERROR(INDEX('Market Results'!$F:$F,MATCH(A82,'Market Results'!A:A,0)),"-")</f>
        <v>-</v>
      </c>
      <c r="J82" s="44" t="str">
        <f t="shared" si="13"/>
        <v>-</v>
      </c>
      <c r="L82" s="60" t="str">
        <f t="shared" si="14"/>
        <v>-</v>
      </c>
    </row>
    <row r="83" spans="1:12" ht="15.75" thickBot="1" x14ac:dyDescent="0.3">
      <c r="A83" s="2" t="s">
        <v>116</v>
      </c>
      <c r="B83" s="2" t="e">
        <f>INDEX(#REF!,MATCH(A83,#REF!,0))</f>
        <v>#REF!</v>
      </c>
      <c r="C83" s="52"/>
      <c r="D83" s="4" t="e">
        <f>AVERAGEIF(#REF!,A83,#REF!)</f>
        <v>#REF!</v>
      </c>
      <c r="E83" s="4" t="e">
        <f t="shared" si="10"/>
        <v>#REF!</v>
      </c>
      <c r="F83" s="4" t="str">
        <f>IFERROR(INDEX('Market Results'!$B:$B,MATCH(B83,'Market Results'!A:A,0)),"-")</f>
        <v>-</v>
      </c>
      <c r="G83" s="43" t="str">
        <f t="shared" si="11"/>
        <v>-</v>
      </c>
      <c r="H83" s="4" t="e">
        <f t="shared" si="12"/>
        <v>#REF!</v>
      </c>
      <c r="I83" s="4" t="str">
        <f>IFERROR(INDEX('Market Results'!$F:$F,MATCH(A83,'Market Results'!A:A,0)),"-")</f>
        <v>-</v>
      </c>
      <c r="J83" s="44" t="str">
        <f t="shared" si="13"/>
        <v>-</v>
      </c>
      <c r="L83" s="60" t="str">
        <f t="shared" si="14"/>
        <v>-</v>
      </c>
    </row>
    <row r="84" spans="1:12" ht="15.75" thickBot="1" x14ac:dyDescent="0.3">
      <c r="A84" s="2" t="s">
        <v>100</v>
      </c>
      <c r="B84" s="2" t="e">
        <f>INDEX(#REF!,MATCH(A84,#REF!,0))</f>
        <v>#REF!</v>
      </c>
      <c r="C84" s="52"/>
      <c r="D84" s="4" t="e">
        <f>AVERAGEIF(#REF!,A84,#REF!)</f>
        <v>#REF!</v>
      </c>
      <c r="E84" s="4" t="e">
        <f t="shared" si="10"/>
        <v>#REF!</v>
      </c>
      <c r="F84" s="4" t="str">
        <f>IFERROR(INDEX('Market Results'!$B:$B,MATCH(B84,'Market Results'!A:A,0)),"-")</f>
        <v>-</v>
      </c>
      <c r="G84" s="43" t="str">
        <f t="shared" si="11"/>
        <v>-</v>
      </c>
      <c r="H84" s="4" t="e">
        <f t="shared" si="12"/>
        <v>#REF!</v>
      </c>
      <c r="I84" s="4" t="str">
        <f>IFERROR(INDEX('Market Results'!$F:$F,MATCH(A84,'Market Results'!A:A,0)),"-")</f>
        <v>-</v>
      </c>
      <c r="J84" s="44" t="str">
        <f t="shared" si="13"/>
        <v>-</v>
      </c>
      <c r="L84" s="60" t="str">
        <f t="shared" si="14"/>
        <v>-</v>
      </c>
    </row>
    <row r="85" spans="1:12" ht="15.75" thickBot="1" x14ac:dyDescent="0.3">
      <c r="A85" s="2" t="s">
        <v>202</v>
      </c>
      <c r="B85" s="2" t="e">
        <f>INDEX(#REF!,MATCH(A85,#REF!,0))</f>
        <v>#REF!</v>
      </c>
      <c r="C85" s="52"/>
      <c r="D85" s="4" t="e">
        <f>AVERAGEIF(#REF!,A85,#REF!)</f>
        <v>#REF!</v>
      </c>
      <c r="E85" s="4" t="e">
        <f t="shared" si="10"/>
        <v>#REF!</v>
      </c>
      <c r="F85" s="4" t="str">
        <f>IFERROR(INDEX('Market Results'!$B:$B,MATCH(B85,'Market Results'!A:A,0)),"-")</f>
        <v>-</v>
      </c>
      <c r="G85" s="43" t="str">
        <f t="shared" si="11"/>
        <v>-</v>
      </c>
      <c r="H85" s="4" t="e">
        <f t="shared" si="12"/>
        <v>#REF!</v>
      </c>
      <c r="I85" s="4" t="str">
        <f>IFERROR(INDEX('Market Results'!$F:$F,MATCH(A85,'Market Results'!A:A,0)),"-")</f>
        <v>-</v>
      </c>
      <c r="J85" s="44" t="str">
        <f t="shared" si="13"/>
        <v>-</v>
      </c>
      <c r="L85" s="60" t="str">
        <f t="shared" si="14"/>
        <v>-</v>
      </c>
    </row>
    <row r="86" spans="1:12" ht="15.75" thickBot="1" x14ac:dyDescent="0.3">
      <c r="A86" s="2" t="s">
        <v>40</v>
      </c>
      <c r="B86" s="2" t="e">
        <f>INDEX(#REF!,MATCH(A86,#REF!,0))</f>
        <v>#REF!</v>
      </c>
      <c r="C86" s="52"/>
      <c r="D86" s="4" t="e">
        <f>AVERAGEIF(#REF!,A86,#REF!)</f>
        <v>#REF!</v>
      </c>
      <c r="E86" s="4" t="e">
        <f t="shared" si="10"/>
        <v>#REF!</v>
      </c>
      <c r="F86" s="4" t="str">
        <f>IFERROR(INDEX('Market Results'!$B:$B,MATCH(B86,'Market Results'!A:A,0)),"-")</f>
        <v>-</v>
      </c>
      <c r="G86" s="43" t="str">
        <f t="shared" si="11"/>
        <v>-</v>
      </c>
      <c r="H86" s="4" t="e">
        <f t="shared" si="12"/>
        <v>#REF!</v>
      </c>
      <c r="I86" s="4" t="str">
        <f>IFERROR(INDEX('Market Results'!$F:$F,MATCH(A86,'Market Results'!A:A,0)),"-")</f>
        <v>-</v>
      </c>
      <c r="J86" s="44" t="str">
        <f t="shared" si="13"/>
        <v>-</v>
      </c>
      <c r="L86" s="60" t="str">
        <f t="shared" si="14"/>
        <v>-</v>
      </c>
    </row>
    <row r="87" spans="1:12" ht="15.75" thickBot="1" x14ac:dyDescent="0.3">
      <c r="A87" s="2" t="s">
        <v>203</v>
      </c>
      <c r="B87" s="2" t="e">
        <f>INDEX(#REF!,MATCH(A87,#REF!,0))</f>
        <v>#REF!</v>
      </c>
      <c r="C87" s="52"/>
      <c r="D87" s="4" t="e">
        <f>AVERAGEIF(#REF!,A87,#REF!)</f>
        <v>#REF!</v>
      </c>
      <c r="E87" s="4" t="e">
        <f t="shared" si="10"/>
        <v>#REF!</v>
      </c>
      <c r="F87" s="4" t="str">
        <f>IFERROR(INDEX('Market Results'!$B:$B,MATCH(B87,'Market Results'!A:A,0)),"-")</f>
        <v>-</v>
      </c>
      <c r="G87" s="43" t="str">
        <f t="shared" si="11"/>
        <v>-</v>
      </c>
      <c r="H87" s="4" t="e">
        <f t="shared" si="12"/>
        <v>#REF!</v>
      </c>
      <c r="I87" s="4" t="str">
        <f>IFERROR(INDEX('Market Results'!$F:$F,MATCH(A87,'Market Results'!A:A,0)),"-")</f>
        <v>-</v>
      </c>
      <c r="J87" s="44" t="str">
        <f t="shared" si="13"/>
        <v>-</v>
      </c>
      <c r="L87" s="60" t="str">
        <f t="shared" si="14"/>
        <v>-</v>
      </c>
    </row>
    <row r="88" spans="1:12" ht="15.75" thickBot="1" x14ac:dyDescent="0.3">
      <c r="A88" s="2" t="s">
        <v>205</v>
      </c>
      <c r="B88" s="2" t="e">
        <f>INDEX(#REF!,MATCH(A88,#REF!,0))</f>
        <v>#REF!</v>
      </c>
      <c r="C88" s="52"/>
      <c r="D88" s="4" t="e">
        <f>AVERAGEIF(#REF!,A88,#REF!)</f>
        <v>#REF!</v>
      </c>
      <c r="E88" s="4" t="e">
        <f t="shared" si="10"/>
        <v>#REF!</v>
      </c>
      <c r="F88" s="4" t="str">
        <f>IFERROR(INDEX('Market Results'!$B:$B,MATCH(B88,'Market Results'!A:A,0)),"-")</f>
        <v>-</v>
      </c>
      <c r="G88" s="43" t="str">
        <f t="shared" si="11"/>
        <v>-</v>
      </c>
      <c r="H88" s="4" t="e">
        <f t="shared" si="12"/>
        <v>#REF!</v>
      </c>
      <c r="I88" s="4" t="str">
        <f>IFERROR(INDEX('Market Results'!$F:$F,MATCH(A88,'Market Results'!A:A,0)),"-")</f>
        <v>-</v>
      </c>
      <c r="J88" s="44" t="str">
        <f t="shared" si="13"/>
        <v>-</v>
      </c>
      <c r="L88" s="60" t="str">
        <f t="shared" si="14"/>
        <v>-</v>
      </c>
    </row>
    <row r="89" spans="1:12" ht="15.75" thickBot="1" x14ac:dyDescent="0.3">
      <c r="A89" s="2" t="s">
        <v>206</v>
      </c>
      <c r="B89" s="2" t="e">
        <f>INDEX(#REF!,MATCH(A89,#REF!,0))</f>
        <v>#REF!</v>
      </c>
      <c r="C89" s="52"/>
      <c r="D89" s="4" t="e">
        <f>AVERAGEIF(#REF!,A89,#REF!)</f>
        <v>#REF!</v>
      </c>
      <c r="E89" s="4" t="e">
        <f t="shared" si="10"/>
        <v>#REF!</v>
      </c>
      <c r="F89" s="4" t="str">
        <f>IFERROR(INDEX('Market Results'!$B:$B,MATCH(B89,'Market Results'!A:A,0)),"-")</f>
        <v>-</v>
      </c>
      <c r="G89" s="43" t="str">
        <f t="shared" si="11"/>
        <v>-</v>
      </c>
      <c r="H89" s="4" t="e">
        <f t="shared" si="12"/>
        <v>#REF!</v>
      </c>
      <c r="I89" s="4" t="str">
        <f>IFERROR(INDEX('Market Results'!$F:$F,MATCH(A89,'Market Results'!A:A,0)),"-")</f>
        <v>-</v>
      </c>
      <c r="J89" s="44" t="str">
        <f t="shared" si="13"/>
        <v>-</v>
      </c>
      <c r="L89" s="60" t="str">
        <f t="shared" si="14"/>
        <v>-</v>
      </c>
    </row>
    <row r="90" spans="1:12" ht="15.75" thickBot="1" x14ac:dyDescent="0.3">
      <c r="A90" s="2" t="s">
        <v>208</v>
      </c>
      <c r="B90" s="2" t="e">
        <f>INDEX(#REF!,MATCH(A90,#REF!,0))</f>
        <v>#REF!</v>
      </c>
      <c r="C90" s="52"/>
      <c r="D90" s="4" t="e">
        <f>AVERAGEIF(#REF!,A90,#REF!)</f>
        <v>#REF!</v>
      </c>
      <c r="E90" s="4" t="e">
        <f t="shared" si="10"/>
        <v>#REF!</v>
      </c>
      <c r="F90" s="4" t="str">
        <f>IFERROR(INDEX('Market Results'!$B:$B,MATCH(B90,'Market Results'!A:A,0)),"-")</f>
        <v>-</v>
      </c>
      <c r="G90" s="43" t="str">
        <f t="shared" si="11"/>
        <v>-</v>
      </c>
      <c r="H90" s="4" t="e">
        <f t="shared" si="12"/>
        <v>#REF!</v>
      </c>
      <c r="I90" s="4" t="str">
        <f>IFERROR(INDEX('Market Results'!$F:$F,MATCH(A90,'Market Results'!A:A,0)),"-")</f>
        <v>-</v>
      </c>
      <c r="J90" s="44" t="str">
        <f t="shared" si="13"/>
        <v>-</v>
      </c>
      <c r="L90" s="60" t="str">
        <f t="shared" si="14"/>
        <v>-</v>
      </c>
    </row>
    <row r="91" spans="1:12" ht="15.75" thickBot="1" x14ac:dyDescent="0.3">
      <c r="A91" s="2" t="s">
        <v>209</v>
      </c>
      <c r="B91" s="2" t="e">
        <f>INDEX(#REF!,MATCH(A91,#REF!,0))</f>
        <v>#REF!</v>
      </c>
      <c r="C91" s="52"/>
      <c r="D91" s="4" t="e">
        <f>AVERAGEIF(#REF!,A91,#REF!)</f>
        <v>#REF!</v>
      </c>
      <c r="E91" s="4" t="e">
        <f t="shared" si="10"/>
        <v>#REF!</v>
      </c>
      <c r="F91" s="4" t="str">
        <f>IFERROR(INDEX('Market Results'!$B:$B,MATCH(B91,'Market Results'!A:A,0)),"-")</f>
        <v>-</v>
      </c>
      <c r="G91" s="43" t="str">
        <f t="shared" si="11"/>
        <v>-</v>
      </c>
      <c r="H91" s="4" t="e">
        <f t="shared" si="12"/>
        <v>#REF!</v>
      </c>
      <c r="I91" s="4" t="str">
        <f>IFERROR(INDEX('Market Results'!$F:$F,MATCH(A91,'Market Results'!A:A,0)),"-")</f>
        <v>-</v>
      </c>
      <c r="J91" s="44" t="str">
        <f t="shared" si="13"/>
        <v>-</v>
      </c>
      <c r="L91" s="60" t="str">
        <f t="shared" si="14"/>
        <v>-</v>
      </c>
    </row>
    <row r="92" spans="1:12" ht="15.75" thickBot="1" x14ac:dyDescent="0.3">
      <c r="A92" s="2" t="s">
        <v>210</v>
      </c>
      <c r="B92" s="2" t="e">
        <f>INDEX(#REF!,MATCH(A92,#REF!,0))</f>
        <v>#REF!</v>
      </c>
      <c r="C92" s="52"/>
      <c r="D92" s="4" t="e">
        <f>AVERAGEIF(#REF!,A92,#REF!)</f>
        <v>#REF!</v>
      </c>
      <c r="E92" s="4" t="e">
        <f t="shared" si="10"/>
        <v>#REF!</v>
      </c>
      <c r="F92" s="4" t="str">
        <f>IFERROR(INDEX('Market Results'!$B:$B,MATCH(B92,'Market Results'!A:A,0)),"-")</f>
        <v>-</v>
      </c>
      <c r="G92" s="43" t="str">
        <f t="shared" si="11"/>
        <v>-</v>
      </c>
      <c r="H92" s="4" t="e">
        <f t="shared" si="12"/>
        <v>#REF!</v>
      </c>
      <c r="I92" s="4" t="str">
        <f>IFERROR(INDEX('Market Results'!$F:$F,MATCH(A92,'Market Results'!A:A,0)),"-")</f>
        <v>-</v>
      </c>
      <c r="J92" s="44" t="str">
        <f t="shared" si="13"/>
        <v>-</v>
      </c>
      <c r="L92" s="60" t="str">
        <f t="shared" si="14"/>
        <v>-</v>
      </c>
    </row>
    <row r="93" spans="1:12" ht="15.75" thickBot="1" x14ac:dyDescent="0.3">
      <c r="A93" s="2" t="s">
        <v>211</v>
      </c>
      <c r="B93" s="2" t="e">
        <f>INDEX(#REF!,MATCH(A93,#REF!,0))</f>
        <v>#REF!</v>
      </c>
      <c r="C93" s="52"/>
      <c r="D93" s="4" t="e">
        <f>AVERAGEIF(#REF!,A93,#REF!)</f>
        <v>#REF!</v>
      </c>
      <c r="E93" s="4" t="e">
        <f t="shared" si="10"/>
        <v>#REF!</v>
      </c>
      <c r="F93" s="4" t="str">
        <f>IFERROR(INDEX('Market Results'!$B:$B,MATCH(B93,'Market Results'!A:A,0)),"-")</f>
        <v>-</v>
      </c>
      <c r="G93" s="43" t="str">
        <f t="shared" si="11"/>
        <v>-</v>
      </c>
      <c r="H93" s="4" t="e">
        <f t="shared" si="12"/>
        <v>#REF!</v>
      </c>
      <c r="I93" s="4" t="str">
        <f>IFERROR(INDEX('Market Results'!$F:$F,MATCH(A93,'Market Results'!A:A,0)),"-")</f>
        <v>-</v>
      </c>
      <c r="J93" s="44" t="str">
        <f t="shared" si="13"/>
        <v>-</v>
      </c>
      <c r="L93" s="60" t="str">
        <f t="shared" si="14"/>
        <v>-</v>
      </c>
    </row>
    <row r="94" spans="1:12" ht="15.75" thickBot="1" x14ac:dyDescent="0.3">
      <c r="A94" s="2" t="s">
        <v>36</v>
      </c>
      <c r="B94" s="2" t="e">
        <f>INDEX(#REF!,MATCH(A94,#REF!,0))</f>
        <v>#REF!</v>
      </c>
      <c r="C94" s="52"/>
      <c r="D94" s="4" t="e">
        <f>AVERAGEIF(#REF!,A94,#REF!)</f>
        <v>#REF!</v>
      </c>
      <c r="E94" s="4" t="e">
        <f t="shared" si="10"/>
        <v>#REF!</v>
      </c>
      <c r="F94" s="4" t="str">
        <f>IFERROR(INDEX('Market Results'!$B:$B,MATCH(B94,'Market Results'!A:A,0)),"-")</f>
        <v>-</v>
      </c>
      <c r="G94" s="43" t="str">
        <f t="shared" si="11"/>
        <v>-</v>
      </c>
      <c r="H94" s="4" t="e">
        <f t="shared" si="12"/>
        <v>#REF!</v>
      </c>
      <c r="I94" s="4" t="str">
        <f>IFERROR(INDEX('Market Results'!$F:$F,MATCH(A94,'Market Results'!A:A,0)),"-")</f>
        <v>-</v>
      </c>
      <c r="J94" s="44" t="str">
        <f t="shared" si="13"/>
        <v>-</v>
      </c>
      <c r="L94" s="60" t="str">
        <f t="shared" si="14"/>
        <v>-</v>
      </c>
    </row>
    <row r="95" spans="1:12" ht="15.75" thickBot="1" x14ac:dyDescent="0.3">
      <c r="A95" s="2" t="s">
        <v>213</v>
      </c>
      <c r="B95" s="2" t="e">
        <f>INDEX(#REF!,MATCH(A95,#REF!,0))</f>
        <v>#REF!</v>
      </c>
      <c r="C95" s="52"/>
      <c r="D95" s="4" t="e">
        <f>AVERAGEIF(#REF!,A95,#REF!)</f>
        <v>#REF!</v>
      </c>
      <c r="E95" s="4" t="e">
        <f t="shared" si="10"/>
        <v>#REF!</v>
      </c>
      <c r="F95" s="4" t="str">
        <f>IFERROR(INDEX('Market Results'!$B:$B,MATCH(B95,'Market Results'!A:A,0)),"-")</f>
        <v>-</v>
      </c>
      <c r="G95" s="43" t="str">
        <f t="shared" si="11"/>
        <v>-</v>
      </c>
      <c r="H95" s="4" t="e">
        <f t="shared" si="12"/>
        <v>#REF!</v>
      </c>
      <c r="I95" s="4" t="str">
        <f>IFERROR(INDEX('Market Results'!$F:$F,MATCH(A95,'Market Results'!A:A,0)),"-")</f>
        <v>-</v>
      </c>
      <c r="J95" s="44" t="str">
        <f t="shared" si="13"/>
        <v>-</v>
      </c>
      <c r="L95" s="60" t="str">
        <f t="shared" si="14"/>
        <v>-</v>
      </c>
    </row>
    <row r="96" spans="1:12" ht="15.75" thickBot="1" x14ac:dyDescent="0.3">
      <c r="A96" s="2" t="s">
        <v>7</v>
      </c>
      <c r="B96" s="2" t="e">
        <f>INDEX(#REF!,MATCH(A96,#REF!,0))</f>
        <v>#REF!</v>
      </c>
      <c r="C96" s="52"/>
      <c r="D96" s="4" t="e">
        <f>AVERAGEIF(#REF!,A96,#REF!)</f>
        <v>#REF!</v>
      </c>
      <c r="E96" s="4" t="e">
        <f t="shared" si="10"/>
        <v>#REF!</v>
      </c>
      <c r="F96" s="4" t="str">
        <f>IFERROR(INDEX('Market Results'!$B:$B,MATCH(B96,'Market Results'!A:A,0)),"-")</f>
        <v>-</v>
      </c>
      <c r="G96" s="43" t="str">
        <f t="shared" si="11"/>
        <v>-</v>
      </c>
      <c r="H96" s="4" t="e">
        <f t="shared" si="12"/>
        <v>#REF!</v>
      </c>
      <c r="I96" s="4" t="str">
        <f>IFERROR(INDEX('Market Results'!$F:$F,MATCH(A96,'Market Results'!A:A,0)),"-")</f>
        <v>-</v>
      </c>
      <c r="J96" s="44" t="str">
        <f t="shared" si="13"/>
        <v>-</v>
      </c>
      <c r="L96" s="60" t="str">
        <f t="shared" si="14"/>
        <v>-</v>
      </c>
    </row>
    <row r="97" spans="1:12" ht="15.75" thickBot="1" x14ac:dyDescent="0.3">
      <c r="A97" s="2" t="s">
        <v>9</v>
      </c>
      <c r="B97" s="2" t="e">
        <f>INDEX(#REF!,MATCH(A97,#REF!,0))</f>
        <v>#REF!</v>
      </c>
      <c r="C97" s="52"/>
      <c r="D97" s="4" t="e">
        <f>AVERAGEIF(#REF!,A97,#REF!)</f>
        <v>#REF!</v>
      </c>
      <c r="E97" s="4" t="e">
        <f t="shared" si="10"/>
        <v>#REF!</v>
      </c>
      <c r="F97" s="4" t="str">
        <f>IFERROR(INDEX('Market Results'!$B:$B,MATCH(B97,'Market Results'!A:A,0)),"-")</f>
        <v>-</v>
      </c>
      <c r="G97" s="43" t="str">
        <f t="shared" si="11"/>
        <v>-</v>
      </c>
      <c r="H97" s="4" t="e">
        <f t="shared" si="12"/>
        <v>#REF!</v>
      </c>
      <c r="I97" s="4" t="str">
        <f>IFERROR(INDEX('Market Results'!$F:$F,MATCH(A97,'Market Results'!A:A,0)),"-")</f>
        <v>-</v>
      </c>
      <c r="J97" s="44" t="str">
        <f t="shared" si="13"/>
        <v>-</v>
      </c>
      <c r="L97" s="60" t="str">
        <f t="shared" si="14"/>
        <v>-</v>
      </c>
    </row>
    <row r="98" spans="1:12" ht="15.75" thickBot="1" x14ac:dyDescent="0.3">
      <c r="A98" s="2" t="s">
        <v>10</v>
      </c>
      <c r="B98" s="2" t="e">
        <f>INDEX(#REF!,MATCH(A98,#REF!,0))</f>
        <v>#REF!</v>
      </c>
      <c r="C98" s="52"/>
      <c r="D98" s="4" t="e">
        <f>AVERAGEIF(#REF!,A98,#REF!)</f>
        <v>#REF!</v>
      </c>
      <c r="E98" s="4" t="e">
        <f t="shared" si="10"/>
        <v>#REF!</v>
      </c>
      <c r="F98" s="4" t="str">
        <f>IFERROR(INDEX('Market Results'!$B:$B,MATCH(B98,'Market Results'!A:A,0)),"-")</f>
        <v>-</v>
      </c>
      <c r="G98" s="43" t="str">
        <f t="shared" si="11"/>
        <v>-</v>
      </c>
      <c r="H98" s="4" t="e">
        <f t="shared" si="12"/>
        <v>#REF!</v>
      </c>
      <c r="I98" s="4" t="str">
        <f>IFERROR(INDEX('Market Results'!$F:$F,MATCH(A98,'Market Results'!A:A,0)),"-")</f>
        <v>-</v>
      </c>
      <c r="J98" s="44" t="str">
        <f t="shared" si="13"/>
        <v>-</v>
      </c>
      <c r="L98" s="60" t="str">
        <f t="shared" si="14"/>
        <v>-</v>
      </c>
    </row>
    <row r="99" spans="1:12" ht="15.75" thickBot="1" x14ac:dyDescent="0.3">
      <c r="A99" s="2" t="s">
        <v>34</v>
      </c>
      <c r="B99" s="2" t="e">
        <f>INDEX(#REF!,MATCH(A99,#REF!,0))</f>
        <v>#REF!</v>
      </c>
      <c r="C99" s="52"/>
      <c r="D99" s="4" t="e">
        <f>AVERAGEIF(#REF!,A99,#REF!)</f>
        <v>#REF!</v>
      </c>
      <c r="E99" s="4" t="e">
        <f t="shared" si="10"/>
        <v>#REF!</v>
      </c>
      <c r="F99" s="4" t="str">
        <f>IFERROR(INDEX('Market Results'!$B:$B,MATCH(B99,'Market Results'!A:A,0)),"-")</f>
        <v>-</v>
      </c>
      <c r="G99" s="43" t="str">
        <f t="shared" si="11"/>
        <v>-</v>
      </c>
      <c r="H99" s="4" t="e">
        <f t="shared" si="12"/>
        <v>#REF!</v>
      </c>
      <c r="I99" s="4" t="str">
        <f>IFERROR(INDEX('Market Results'!$F:$F,MATCH(A99,'Market Results'!A:A,0)),"-")</f>
        <v>-</v>
      </c>
      <c r="J99" s="44" t="str">
        <f t="shared" si="13"/>
        <v>-</v>
      </c>
      <c r="L99" s="60" t="str">
        <f t="shared" si="14"/>
        <v>-</v>
      </c>
    </row>
    <row r="100" spans="1:12" ht="15.75" thickBot="1" x14ac:dyDescent="0.3">
      <c r="A100" s="2" t="s">
        <v>41</v>
      </c>
      <c r="B100" s="2" t="e">
        <f>INDEX(#REF!,MATCH(A100,#REF!,0))</f>
        <v>#REF!</v>
      </c>
      <c r="C100" s="52"/>
      <c r="D100" s="4" t="e">
        <f>AVERAGEIF(#REF!,A100,#REF!)</f>
        <v>#REF!</v>
      </c>
      <c r="E100" s="4" t="e">
        <f t="shared" si="10"/>
        <v>#REF!</v>
      </c>
      <c r="F100" s="4" t="str">
        <f>IFERROR(INDEX('Market Results'!$B:$B,MATCH(B100,'Market Results'!A:A,0)),"-")</f>
        <v>-</v>
      </c>
      <c r="G100" s="43" t="str">
        <f t="shared" si="11"/>
        <v>-</v>
      </c>
      <c r="H100" s="4" t="e">
        <f t="shared" si="12"/>
        <v>#REF!</v>
      </c>
      <c r="I100" s="4" t="str">
        <f>IFERROR(INDEX('Market Results'!$F:$F,MATCH(A100,'Market Results'!A:A,0)),"-")</f>
        <v>-</v>
      </c>
      <c r="J100" s="44" t="str">
        <f t="shared" si="13"/>
        <v>-</v>
      </c>
      <c r="L100" s="60" t="str">
        <f t="shared" si="14"/>
        <v>-</v>
      </c>
    </row>
    <row r="101" spans="1:12" ht="15.75" thickBot="1" x14ac:dyDescent="0.3">
      <c r="A101" s="2" t="s">
        <v>61</v>
      </c>
      <c r="B101" s="2" t="e">
        <f>INDEX(#REF!,MATCH(A101,#REF!,0))</f>
        <v>#REF!</v>
      </c>
      <c r="C101" s="52"/>
      <c r="D101" s="4" t="e">
        <f>AVERAGEIF(#REF!,A101,#REF!)</f>
        <v>#REF!</v>
      </c>
      <c r="E101" s="4" t="e">
        <f t="shared" si="10"/>
        <v>#REF!</v>
      </c>
      <c r="F101" s="4" t="str">
        <f>IFERROR(INDEX('Market Results'!$B:$B,MATCH(B101,'Market Results'!A:A,0)),"-")</f>
        <v>-</v>
      </c>
      <c r="G101" s="43" t="str">
        <f t="shared" si="11"/>
        <v>-</v>
      </c>
      <c r="H101" s="4" t="e">
        <f t="shared" si="12"/>
        <v>#REF!</v>
      </c>
      <c r="I101" s="4" t="str">
        <f>IFERROR(INDEX('Market Results'!$F:$F,MATCH(A101,'Market Results'!A:A,0)),"-")</f>
        <v>-</v>
      </c>
      <c r="J101" s="44" t="str">
        <f t="shared" si="13"/>
        <v>-</v>
      </c>
      <c r="L101" s="60" t="str">
        <f t="shared" si="14"/>
        <v>-</v>
      </c>
    </row>
    <row r="102" spans="1:12" ht="15.75" thickBot="1" x14ac:dyDescent="0.3">
      <c r="A102" s="2" t="s">
        <v>63</v>
      </c>
      <c r="B102" s="2" t="e">
        <f>INDEX(#REF!,MATCH(A102,#REF!,0))</f>
        <v>#REF!</v>
      </c>
      <c r="C102" s="52"/>
      <c r="D102" s="4" t="e">
        <f>AVERAGEIF(#REF!,A102,#REF!)</f>
        <v>#REF!</v>
      </c>
      <c r="E102" s="4" t="e">
        <f t="shared" si="10"/>
        <v>#REF!</v>
      </c>
      <c r="F102" s="4" t="str">
        <f>IFERROR(INDEX('Market Results'!$B:$B,MATCH(B102,'Market Results'!A:A,0)),"-")</f>
        <v>-</v>
      </c>
      <c r="G102" s="43" t="str">
        <f t="shared" si="11"/>
        <v>-</v>
      </c>
      <c r="H102" s="4" t="e">
        <f t="shared" si="12"/>
        <v>#REF!</v>
      </c>
      <c r="I102" s="4" t="str">
        <f>IFERROR(INDEX('Market Results'!$F:$F,MATCH(A102,'Market Results'!A:A,0)),"-")</f>
        <v>-</v>
      </c>
      <c r="J102" s="44" t="str">
        <f t="shared" si="13"/>
        <v>-</v>
      </c>
      <c r="L102" s="60" t="str">
        <f t="shared" si="14"/>
        <v>-</v>
      </c>
    </row>
    <row r="103" spans="1:12" ht="15.75" thickBot="1" x14ac:dyDescent="0.3">
      <c r="A103" s="2" t="s">
        <v>65</v>
      </c>
      <c r="B103" s="2" t="e">
        <f>INDEX(#REF!,MATCH(A103,#REF!,0))</f>
        <v>#REF!</v>
      </c>
      <c r="C103" s="52"/>
      <c r="D103" s="4" t="e">
        <f>AVERAGEIF(#REF!,A103,#REF!)</f>
        <v>#REF!</v>
      </c>
      <c r="E103" s="4" t="e">
        <f t="shared" si="10"/>
        <v>#REF!</v>
      </c>
      <c r="F103" s="4" t="str">
        <f>IFERROR(INDEX('Market Results'!$B:$B,MATCH(B103,'Market Results'!A:A,0)),"-")</f>
        <v>-</v>
      </c>
      <c r="G103" s="43" t="str">
        <f t="shared" si="11"/>
        <v>-</v>
      </c>
      <c r="H103" s="4" t="e">
        <f t="shared" si="12"/>
        <v>#REF!</v>
      </c>
      <c r="I103" s="4" t="str">
        <f>IFERROR(INDEX('Market Results'!$F:$F,MATCH(A103,'Market Results'!A:A,0)),"-")</f>
        <v>-</v>
      </c>
      <c r="J103" s="44" t="str">
        <f t="shared" si="13"/>
        <v>-</v>
      </c>
      <c r="L103" s="60" t="str">
        <f t="shared" si="14"/>
        <v>-</v>
      </c>
    </row>
    <row r="104" spans="1:12" ht="15.75" thickBot="1" x14ac:dyDescent="0.3">
      <c r="A104" s="2" t="s">
        <v>66</v>
      </c>
      <c r="B104" s="2" t="e">
        <f>INDEX(#REF!,MATCH(A104,#REF!,0))</f>
        <v>#REF!</v>
      </c>
      <c r="C104" s="52"/>
      <c r="D104" s="4" t="e">
        <f>AVERAGEIF(#REF!,A104,#REF!)</f>
        <v>#REF!</v>
      </c>
      <c r="E104" s="4" t="e">
        <f t="shared" si="10"/>
        <v>#REF!</v>
      </c>
      <c r="F104" s="4" t="str">
        <f>IFERROR(INDEX('Market Results'!$B:$B,MATCH(B104,'Market Results'!A:A,0)),"-")</f>
        <v>-</v>
      </c>
      <c r="G104" s="43" t="str">
        <f t="shared" si="11"/>
        <v>-</v>
      </c>
      <c r="H104" s="4" t="e">
        <f t="shared" si="12"/>
        <v>#REF!</v>
      </c>
      <c r="I104" s="4" t="str">
        <f>IFERROR(INDEX('Market Results'!$F:$F,MATCH(A104,'Market Results'!A:A,0)),"-")</f>
        <v>-</v>
      </c>
      <c r="J104" s="44" t="str">
        <f t="shared" si="13"/>
        <v>-</v>
      </c>
      <c r="L104" s="60" t="str">
        <f t="shared" si="14"/>
        <v>-</v>
      </c>
    </row>
    <row r="105" spans="1:12" ht="15.75" thickBot="1" x14ac:dyDescent="0.3">
      <c r="A105" s="2" t="s">
        <v>70</v>
      </c>
      <c r="B105" s="2" t="e">
        <f>INDEX(#REF!,MATCH(A105,#REF!,0))</f>
        <v>#REF!</v>
      </c>
      <c r="C105" s="52"/>
      <c r="D105" s="4" t="e">
        <f>AVERAGEIF(#REF!,A105,#REF!)</f>
        <v>#REF!</v>
      </c>
      <c r="E105" s="4" t="e">
        <f t="shared" si="10"/>
        <v>#REF!</v>
      </c>
      <c r="F105" s="4" t="str">
        <f>IFERROR(INDEX('Market Results'!$B:$B,MATCH(B105,'Market Results'!A:A,0)),"-")</f>
        <v>-</v>
      </c>
      <c r="G105" s="43" t="str">
        <f t="shared" si="11"/>
        <v>-</v>
      </c>
      <c r="H105" s="4" t="e">
        <f t="shared" si="12"/>
        <v>#REF!</v>
      </c>
      <c r="I105" s="4" t="str">
        <f>IFERROR(INDEX('Market Results'!$F:$F,MATCH(A105,'Market Results'!A:A,0)),"-")</f>
        <v>-</v>
      </c>
      <c r="J105" s="44" t="str">
        <f t="shared" si="13"/>
        <v>-</v>
      </c>
      <c r="L105" s="60" t="str">
        <f t="shared" si="14"/>
        <v>-</v>
      </c>
    </row>
    <row r="106" spans="1:12" ht="15.75" thickBot="1" x14ac:dyDescent="0.3">
      <c r="A106" s="2" t="s">
        <v>72</v>
      </c>
      <c r="B106" s="2" t="e">
        <f>INDEX(#REF!,MATCH(A106,#REF!,0))</f>
        <v>#REF!</v>
      </c>
      <c r="C106" s="52"/>
      <c r="D106" s="4" t="e">
        <f>AVERAGEIF(#REF!,A106,#REF!)</f>
        <v>#REF!</v>
      </c>
      <c r="E106" s="4" t="e">
        <f t="shared" si="10"/>
        <v>#REF!</v>
      </c>
      <c r="F106" s="4" t="str">
        <f>IFERROR(INDEX('Market Results'!$B:$B,MATCH(B106,'Market Results'!A:A,0)),"-")</f>
        <v>-</v>
      </c>
      <c r="G106" s="43" t="str">
        <f t="shared" si="11"/>
        <v>-</v>
      </c>
      <c r="H106" s="4" t="e">
        <f t="shared" si="12"/>
        <v>#REF!</v>
      </c>
      <c r="I106" s="4" t="str">
        <f>IFERROR(INDEX('Market Results'!$F:$F,MATCH(A106,'Market Results'!A:A,0)),"-")</f>
        <v>-</v>
      </c>
      <c r="J106" s="44" t="str">
        <f t="shared" si="13"/>
        <v>-</v>
      </c>
      <c r="L106" s="60" t="str">
        <f t="shared" si="14"/>
        <v>-</v>
      </c>
    </row>
    <row r="107" spans="1:12" ht="15.75" thickBot="1" x14ac:dyDescent="0.3">
      <c r="A107" s="2" t="s">
        <v>79</v>
      </c>
      <c r="B107" s="2" t="e">
        <f>INDEX(#REF!,MATCH(A107,#REF!,0))</f>
        <v>#REF!</v>
      </c>
      <c r="C107" s="52"/>
      <c r="D107" s="4" t="e">
        <f>AVERAGEIF(#REF!,A107,#REF!)</f>
        <v>#REF!</v>
      </c>
      <c r="E107" s="4" t="e">
        <f t="shared" si="10"/>
        <v>#REF!</v>
      </c>
      <c r="F107" s="4" t="str">
        <f>IFERROR(INDEX('Market Results'!$B:$B,MATCH(B107,'Market Results'!A:A,0)),"-")</f>
        <v>-</v>
      </c>
      <c r="G107" s="43" t="str">
        <f t="shared" si="11"/>
        <v>-</v>
      </c>
      <c r="H107" s="4" t="e">
        <f t="shared" si="12"/>
        <v>#REF!</v>
      </c>
      <c r="I107" s="4" t="str">
        <f>IFERROR(INDEX('Market Results'!$F:$F,MATCH(A107,'Market Results'!A:A,0)),"-")</f>
        <v>-</v>
      </c>
      <c r="J107" s="44" t="str">
        <f t="shared" si="13"/>
        <v>-</v>
      </c>
      <c r="L107" s="60" t="str">
        <f t="shared" si="14"/>
        <v>-</v>
      </c>
    </row>
    <row r="108" spans="1:12" ht="15.75" thickBot="1" x14ac:dyDescent="0.3">
      <c r="A108" s="2" t="s">
        <v>80</v>
      </c>
      <c r="B108" s="2" t="e">
        <f>INDEX(#REF!,MATCH(A108,#REF!,0))</f>
        <v>#REF!</v>
      </c>
      <c r="C108" s="52"/>
      <c r="D108" s="4" t="e">
        <f>AVERAGEIF(#REF!,A108,#REF!)</f>
        <v>#REF!</v>
      </c>
      <c r="E108" s="4" t="e">
        <f t="shared" si="10"/>
        <v>#REF!</v>
      </c>
      <c r="F108" s="4" t="str">
        <f>IFERROR(INDEX('Market Results'!$B:$B,MATCH(B108,'Market Results'!A:A,0)),"-")</f>
        <v>-</v>
      </c>
      <c r="G108" s="43" t="str">
        <f t="shared" si="11"/>
        <v>-</v>
      </c>
      <c r="H108" s="4" t="e">
        <f t="shared" si="12"/>
        <v>#REF!</v>
      </c>
      <c r="I108" s="4" t="str">
        <f>IFERROR(INDEX('Market Results'!$F:$F,MATCH(A108,'Market Results'!A:A,0)),"-")</f>
        <v>-</v>
      </c>
      <c r="J108" s="44" t="str">
        <f t="shared" si="13"/>
        <v>-</v>
      </c>
      <c r="L108" s="60" t="str">
        <f t="shared" si="14"/>
        <v>-</v>
      </c>
    </row>
    <row r="109" spans="1:12" ht="15.75" thickBot="1" x14ac:dyDescent="0.3">
      <c r="A109" s="2" t="s">
        <v>86</v>
      </c>
      <c r="B109" s="2" t="e">
        <f>INDEX(#REF!,MATCH(A109,#REF!,0))</f>
        <v>#REF!</v>
      </c>
      <c r="C109" s="52"/>
      <c r="D109" s="4" t="e">
        <f>AVERAGEIF(#REF!,A109,#REF!)</f>
        <v>#REF!</v>
      </c>
      <c r="E109" s="4" t="e">
        <f t="shared" ref="E109:E138" si="15">INDEX($B$4:$B$10,MATCH(B109,$A$4:$A$10,0))</f>
        <v>#REF!</v>
      </c>
      <c r="F109" s="4" t="str">
        <f>IFERROR(INDEX('Market Results'!$B:$B,MATCH(B109,'Market Results'!A:A,0)),"-")</f>
        <v>-</v>
      </c>
      <c r="G109" s="43" t="str">
        <f t="shared" ref="G109:G138" si="16">IFERROR((E109-F109)/E109,"-")</f>
        <v>-</v>
      </c>
      <c r="H109" s="4" t="e">
        <f t="shared" ref="H109:H138" si="17">INDEX($C$4:$C$10,MATCH(B109,$A$4:$A$10,0))</f>
        <v>#REF!</v>
      </c>
      <c r="I109" s="4" t="str">
        <f>IFERROR(INDEX('Market Results'!$F:$F,MATCH(A109,'Market Results'!A:A,0)),"-")</f>
        <v>-</v>
      </c>
      <c r="J109" s="44" t="str">
        <f t="shared" ref="J109:J138" si="18">IFERROR((H109-I109)/H109,"-")</f>
        <v>-</v>
      </c>
      <c r="L109" s="60" t="str">
        <f t="shared" si="14"/>
        <v>-</v>
      </c>
    </row>
    <row r="110" spans="1:12" ht="15.75" thickBot="1" x14ac:dyDescent="0.3">
      <c r="A110" s="2" t="s">
        <v>89</v>
      </c>
      <c r="B110" s="2" t="e">
        <f>INDEX(#REF!,MATCH(A110,#REF!,0))</f>
        <v>#REF!</v>
      </c>
      <c r="C110" s="52"/>
      <c r="D110" s="4" t="e">
        <f>AVERAGEIF(#REF!,A110,#REF!)</f>
        <v>#REF!</v>
      </c>
      <c r="E110" s="4" t="e">
        <f t="shared" si="15"/>
        <v>#REF!</v>
      </c>
      <c r="F110" s="4" t="str">
        <f>IFERROR(INDEX('Market Results'!$B:$B,MATCH(B110,'Market Results'!A:A,0)),"-")</f>
        <v>-</v>
      </c>
      <c r="G110" s="43" t="str">
        <f t="shared" si="16"/>
        <v>-</v>
      </c>
      <c r="H110" s="4" t="e">
        <f t="shared" si="17"/>
        <v>#REF!</v>
      </c>
      <c r="I110" s="4" t="str">
        <f>IFERROR(INDEX('Market Results'!$F:$F,MATCH(A110,'Market Results'!A:A,0)),"-")</f>
        <v>-</v>
      </c>
      <c r="J110" s="44" t="str">
        <f t="shared" si="18"/>
        <v>-</v>
      </c>
      <c r="L110" s="60" t="str">
        <f t="shared" si="14"/>
        <v>-</v>
      </c>
    </row>
    <row r="111" spans="1:12" ht="15.75" thickBot="1" x14ac:dyDescent="0.3">
      <c r="A111" s="2" t="s">
        <v>94</v>
      </c>
      <c r="B111" s="2" t="e">
        <f>INDEX(#REF!,MATCH(A111,#REF!,0))</f>
        <v>#REF!</v>
      </c>
      <c r="C111" s="52"/>
      <c r="D111" s="4" t="e">
        <f>AVERAGEIF(#REF!,A111,#REF!)</f>
        <v>#REF!</v>
      </c>
      <c r="E111" s="4" t="e">
        <f t="shared" si="15"/>
        <v>#REF!</v>
      </c>
      <c r="F111" s="4" t="str">
        <f>IFERROR(INDEX('Market Results'!$B:$B,MATCH(B111,'Market Results'!A:A,0)),"-")</f>
        <v>-</v>
      </c>
      <c r="G111" s="43" t="str">
        <f t="shared" si="16"/>
        <v>-</v>
      </c>
      <c r="H111" s="4" t="e">
        <f t="shared" si="17"/>
        <v>#REF!</v>
      </c>
      <c r="I111" s="4" t="str">
        <f>IFERROR(INDEX('Market Results'!$F:$F,MATCH(A111,'Market Results'!A:A,0)),"-")</f>
        <v>-</v>
      </c>
      <c r="J111" s="44" t="str">
        <f t="shared" si="18"/>
        <v>-</v>
      </c>
      <c r="L111" s="60" t="str">
        <f t="shared" si="14"/>
        <v>-</v>
      </c>
    </row>
    <row r="112" spans="1:12" ht="15.75" thickBot="1" x14ac:dyDescent="0.3">
      <c r="A112" s="2" t="s">
        <v>98</v>
      </c>
      <c r="B112" s="2" t="e">
        <f>INDEX(#REF!,MATCH(A112,#REF!,0))</f>
        <v>#REF!</v>
      </c>
      <c r="C112" s="52"/>
      <c r="D112" s="4" t="e">
        <f>AVERAGEIF(#REF!,A112,#REF!)</f>
        <v>#REF!</v>
      </c>
      <c r="E112" s="4" t="e">
        <f t="shared" si="15"/>
        <v>#REF!</v>
      </c>
      <c r="F112" s="4" t="str">
        <f>IFERROR(INDEX('Market Results'!$B:$B,MATCH(B112,'Market Results'!A:A,0)),"-")</f>
        <v>-</v>
      </c>
      <c r="G112" s="43" t="str">
        <f t="shared" si="16"/>
        <v>-</v>
      </c>
      <c r="H112" s="4" t="e">
        <f t="shared" si="17"/>
        <v>#REF!</v>
      </c>
      <c r="I112" s="4" t="str">
        <f>IFERROR(INDEX('Market Results'!$F:$F,MATCH(A112,'Market Results'!A:A,0)),"-")</f>
        <v>-</v>
      </c>
      <c r="J112" s="44" t="str">
        <f t="shared" si="18"/>
        <v>-</v>
      </c>
      <c r="L112" s="60" t="str">
        <f t="shared" si="14"/>
        <v>-</v>
      </c>
    </row>
    <row r="113" spans="1:12" ht="15.75" thickBot="1" x14ac:dyDescent="0.3">
      <c r="A113" s="2" t="s">
        <v>104</v>
      </c>
      <c r="B113" s="2" t="e">
        <f>INDEX(#REF!,MATCH(A113,#REF!,0))</f>
        <v>#REF!</v>
      </c>
      <c r="C113" s="52"/>
      <c r="D113" s="4" t="e">
        <f>AVERAGEIF(#REF!,A113,#REF!)</f>
        <v>#REF!</v>
      </c>
      <c r="E113" s="4" t="e">
        <f t="shared" si="15"/>
        <v>#REF!</v>
      </c>
      <c r="F113" s="4" t="str">
        <f>IFERROR(INDEX('Market Results'!$B:$B,MATCH(B113,'Market Results'!A:A,0)),"-")</f>
        <v>-</v>
      </c>
      <c r="G113" s="43" t="str">
        <f t="shared" si="16"/>
        <v>-</v>
      </c>
      <c r="H113" s="4" t="e">
        <f t="shared" si="17"/>
        <v>#REF!</v>
      </c>
      <c r="I113" s="4" t="str">
        <f>IFERROR(INDEX('Market Results'!$F:$F,MATCH(A113,'Market Results'!A:A,0)),"-")</f>
        <v>-</v>
      </c>
      <c r="J113" s="44" t="str">
        <f t="shared" si="18"/>
        <v>-</v>
      </c>
      <c r="L113" s="60" t="str">
        <f t="shared" si="14"/>
        <v>-</v>
      </c>
    </row>
    <row r="114" spans="1:12" ht="15.75" thickBot="1" x14ac:dyDescent="0.3">
      <c r="A114" s="2" t="s">
        <v>107</v>
      </c>
      <c r="B114" s="2" t="e">
        <f>INDEX(#REF!,MATCH(A114,#REF!,0))</f>
        <v>#REF!</v>
      </c>
      <c r="C114" s="52"/>
      <c r="D114" s="4" t="e">
        <f>AVERAGEIF(#REF!,A114,#REF!)</f>
        <v>#REF!</v>
      </c>
      <c r="E114" s="4" t="e">
        <f t="shared" si="15"/>
        <v>#REF!</v>
      </c>
      <c r="F114" s="4" t="str">
        <f>IFERROR(INDEX('Market Results'!$B:$B,MATCH(B114,'Market Results'!A:A,0)),"-")</f>
        <v>-</v>
      </c>
      <c r="G114" s="43" t="str">
        <f t="shared" si="16"/>
        <v>-</v>
      </c>
      <c r="H114" s="4" t="e">
        <f t="shared" si="17"/>
        <v>#REF!</v>
      </c>
      <c r="I114" s="4" t="str">
        <f>IFERROR(INDEX('Market Results'!$F:$F,MATCH(A114,'Market Results'!A:A,0)),"-")</f>
        <v>-</v>
      </c>
      <c r="J114" s="44" t="str">
        <f t="shared" si="18"/>
        <v>-</v>
      </c>
      <c r="L114" s="60" t="str">
        <f t="shared" si="14"/>
        <v>-</v>
      </c>
    </row>
    <row r="115" spans="1:12" ht="15.75" thickBot="1" x14ac:dyDescent="0.3">
      <c r="A115" s="2" t="s">
        <v>110</v>
      </c>
      <c r="B115" s="2" t="e">
        <f>INDEX(#REF!,MATCH(A115,#REF!,0))</f>
        <v>#REF!</v>
      </c>
      <c r="C115" s="52"/>
      <c r="D115" s="4" t="e">
        <f>AVERAGEIF(#REF!,A115,#REF!)</f>
        <v>#REF!</v>
      </c>
      <c r="E115" s="4" t="e">
        <f t="shared" si="15"/>
        <v>#REF!</v>
      </c>
      <c r="F115" s="4" t="str">
        <f>IFERROR(INDEX('Market Results'!$B:$B,MATCH(B115,'Market Results'!A:A,0)),"-")</f>
        <v>-</v>
      </c>
      <c r="G115" s="43" t="str">
        <f t="shared" si="16"/>
        <v>-</v>
      </c>
      <c r="H115" s="4" t="e">
        <f t="shared" si="17"/>
        <v>#REF!</v>
      </c>
      <c r="I115" s="4" t="str">
        <f>IFERROR(INDEX('Market Results'!$F:$F,MATCH(A115,'Market Results'!A:A,0)),"-")</f>
        <v>-</v>
      </c>
      <c r="J115" s="44" t="str">
        <f t="shared" si="18"/>
        <v>-</v>
      </c>
      <c r="L115" s="60" t="str">
        <f t="shared" si="14"/>
        <v>-</v>
      </c>
    </row>
    <row r="116" spans="1:12" ht="15.75" thickBot="1" x14ac:dyDescent="0.3">
      <c r="A116" s="2" t="s">
        <v>112</v>
      </c>
      <c r="B116" s="2" t="e">
        <f>INDEX(#REF!,MATCH(A116,#REF!,0))</f>
        <v>#REF!</v>
      </c>
      <c r="C116" s="52"/>
      <c r="D116" s="4" t="e">
        <f>AVERAGEIF(#REF!,A116,#REF!)</f>
        <v>#REF!</v>
      </c>
      <c r="E116" s="4" t="e">
        <f t="shared" si="15"/>
        <v>#REF!</v>
      </c>
      <c r="F116" s="4" t="str">
        <f>IFERROR(INDEX('Market Results'!$B:$B,MATCH(B116,'Market Results'!A:A,0)),"-")</f>
        <v>-</v>
      </c>
      <c r="G116" s="43" t="str">
        <f t="shared" si="16"/>
        <v>-</v>
      </c>
      <c r="H116" s="4" t="e">
        <f t="shared" si="17"/>
        <v>#REF!</v>
      </c>
      <c r="I116" s="4" t="str">
        <f>IFERROR(INDEX('Market Results'!$F:$F,MATCH(A116,'Market Results'!A:A,0)),"-")</f>
        <v>-</v>
      </c>
      <c r="J116" s="44" t="str">
        <f t="shared" si="18"/>
        <v>-</v>
      </c>
      <c r="L116" s="60" t="str">
        <f t="shared" si="14"/>
        <v>-</v>
      </c>
    </row>
    <row r="117" spans="1:12" ht="15.75" thickBot="1" x14ac:dyDescent="0.3">
      <c r="A117" s="2" t="s">
        <v>113</v>
      </c>
      <c r="B117" s="2" t="e">
        <f>INDEX(#REF!,MATCH(A117,#REF!,0))</f>
        <v>#REF!</v>
      </c>
      <c r="C117" s="52"/>
      <c r="D117" s="4" t="e">
        <f>AVERAGEIF(#REF!,A117,#REF!)</f>
        <v>#REF!</v>
      </c>
      <c r="E117" s="4" t="e">
        <f t="shared" si="15"/>
        <v>#REF!</v>
      </c>
      <c r="F117" s="4" t="str">
        <f>IFERROR(INDEX('Market Results'!$B:$B,MATCH(B117,'Market Results'!A:A,0)),"-")</f>
        <v>-</v>
      </c>
      <c r="G117" s="43" t="str">
        <f t="shared" si="16"/>
        <v>-</v>
      </c>
      <c r="H117" s="4" t="e">
        <f t="shared" si="17"/>
        <v>#REF!</v>
      </c>
      <c r="I117" s="4" t="str">
        <f>IFERROR(INDEX('Market Results'!$F:$F,MATCH(A117,'Market Results'!A:A,0)),"-")</f>
        <v>-</v>
      </c>
      <c r="J117" s="44" t="str">
        <f t="shared" si="18"/>
        <v>-</v>
      </c>
      <c r="L117" s="60" t="str">
        <f t="shared" si="14"/>
        <v>-</v>
      </c>
    </row>
    <row r="118" spans="1:12" ht="15.75" thickBot="1" x14ac:dyDescent="0.3">
      <c r="A118" s="2" t="s">
        <v>114</v>
      </c>
      <c r="B118" s="2" t="e">
        <f>INDEX(#REF!,MATCH(A118,#REF!,0))</f>
        <v>#REF!</v>
      </c>
      <c r="C118" s="52"/>
      <c r="D118" s="4" t="e">
        <f>AVERAGEIF(#REF!,A118,#REF!)</f>
        <v>#REF!</v>
      </c>
      <c r="E118" s="4" t="e">
        <f t="shared" si="15"/>
        <v>#REF!</v>
      </c>
      <c r="F118" s="4" t="str">
        <f>IFERROR(INDEX('Market Results'!$B:$B,MATCH(B118,'Market Results'!A:A,0)),"-")</f>
        <v>-</v>
      </c>
      <c r="G118" s="43" t="str">
        <f t="shared" si="16"/>
        <v>-</v>
      </c>
      <c r="H118" s="4" t="e">
        <f t="shared" si="17"/>
        <v>#REF!</v>
      </c>
      <c r="I118" s="4" t="str">
        <f>IFERROR(INDEX('Market Results'!$F:$F,MATCH(A118,'Market Results'!A:A,0)),"-")</f>
        <v>-</v>
      </c>
      <c r="J118" s="44" t="str">
        <f t="shared" si="18"/>
        <v>-</v>
      </c>
      <c r="L118" s="60" t="str">
        <f t="shared" si="14"/>
        <v>-</v>
      </c>
    </row>
    <row r="119" spans="1:12" ht="15.75" thickBot="1" x14ac:dyDescent="0.3">
      <c r="A119" s="2" t="s">
        <v>115</v>
      </c>
      <c r="B119" s="2" t="e">
        <f>INDEX(#REF!,MATCH(A119,#REF!,0))</f>
        <v>#REF!</v>
      </c>
      <c r="C119" s="52"/>
      <c r="D119" s="4" t="e">
        <f>AVERAGEIF(#REF!,A119,#REF!)</f>
        <v>#REF!</v>
      </c>
      <c r="E119" s="4" t="e">
        <f t="shared" si="15"/>
        <v>#REF!</v>
      </c>
      <c r="F119" s="4" t="str">
        <f>IFERROR(INDEX('Market Results'!$B:$B,MATCH(B119,'Market Results'!A:A,0)),"-")</f>
        <v>-</v>
      </c>
      <c r="G119" s="43" t="str">
        <f t="shared" si="16"/>
        <v>-</v>
      </c>
      <c r="H119" s="4" t="e">
        <f t="shared" si="17"/>
        <v>#REF!</v>
      </c>
      <c r="I119" s="4" t="str">
        <f>IFERROR(INDEX('Market Results'!$F:$F,MATCH(A119,'Market Results'!A:A,0)),"-")</f>
        <v>-</v>
      </c>
      <c r="J119" s="44" t="str">
        <f t="shared" si="18"/>
        <v>-</v>
      </c>
      <c r="L119" s="60" t="str">
        <f t="shared" si="14"/>
        <v>-</v>
      </c>
    </row>
    <row r="120" spans="1:12" ht="15.75" thickBot="1" x14ac:dyDescent="0.3">
      <c r="A120" s="2" t="s">
        <v>67</v>
      </c>
      <c r="B120" s="2" t="e">
        <f>INDEX(#REF!,MATCH(A120,#REF!,0))</f>
        <v>#REF!</v>
      </c>
      <c r="C120" s="52"/>
      <c r="D120" s="4" t="e">
        <f>AVERAGEIF(#REF!,A120,#REF!)</f>
        <v>#REF!</v>
      </c>
      <c r="E120" s="4" t="e">
        <f t="shared" si="15"/>
        <v>#REF!</v>
      </c>
      <c r="F120" s="4" t="str">
        <f>IFERROR(INDEX('Market Results'!$B:$B,MATCH(B120,'Market Results'!A:A,0)),"-")</f>
        <v>-</v>
      </c>
      <c r="G120" s="43" t="str">
        <f t="shared" si="16"/>
        <v>-</v>
      </c>
      <c r="H120" s="4" t="e">
        <f t="shared" si="17"/>
        <v>#REF!</v>
      </c>
      <c r="I120" s="4">
        <f>IFERROR(INDEX('Market Results'!$F:$F,MATCH(A120,'Market Results'!A:A,0)),"-")</f>
        <v>81565.963890708212</v>
      </c>
      <c r="J120" s="44" t="str">
        <f t="shared" si="18"/>
        <v>-</v>
      </c>
      <c r="L120" s="60" t="str">
        <f t="shared" si="14"/>
        <v>-</v>
      </c>
    </row>
    <row r="121" spans="1:12" ht="15.75" thickBot="1" x14ac:dyDescent="0.3">
      <c r="A121" s="2" t="s">
        <v>58</v>
      </c>
      <c r="B121" s="2" t="e">
        <f>INDEX(#REF!,MATCH(A121,#REF!,0))</f>
        <v>#REF!</v>
      </c>
      <c r="C121" s="52"/>
      <c r="D121" s="4" t="e">
        <f>AVERAGEIF(#REF!,A121,#REF!)</f>
        <v>#REF!</v>
      </c>
      <c r="E121" s="4" t="e">
        <f t="shared" si="15"/>
        <v>#REF!</v>
      </c>
      <c r="F121" s="4" t="str">
        <f>IFERROR(INDEX('Market Results'!$B:$B,MATCH(B121,'Market Results'!A:A,0)),"-")</f>
        <v>-</v>
      </c>
      <c r="G121" s="43" t="str">
        <f t="shared" si="16"/>
        <v>-</v>
      </c>
      <c r="H121" s="4" t="e">
        <f t="shared" si="17"/>
        <v>#REF!</v>
      </c>
      <c r="I121" s="4">
        <f>IFERROR(INDEX('Market Results'!$F:$F,MATCH(A121,'Market Results'!A:A,0)),"-")</f>
        <v>80991.817056673826</v>
      </c>
      <c r="J121" s="44" t="str">
        <f t="shared" si="18"/>
        <v>-</v>
      </c>
      <c r="L121" s="60" t="str">
        <f t="shared" si="14"/>
        <v>-</v>
      </c>
    </row>
    <row r="122" spans="1:12" ht="15.75" thickBot="1" x14ac:dyDescent="0.3">
      <c r="A122" s="2" t="s">
        <v>48</v>
      </c>
      <c r="B122" s="2" t="e">
        <f>INDEX(#REF!,MATCH(A122,#REF!,0))</f>
        <v>#REF!</v>
      </c>
      <c r="C122" s="52"/>
      <c r="D122" s="4" t="e">
        <f>AVERAGEIF(#REF!,A122,#REF!)</f>
        <v>#REF!</v>
      </c>
      <c r="E122" s="4" t="e">
        <f t="shared" si="15"/>
        <v>#REF!</v>
      </c>
      <c r="F122" s="4" t="str">
        <f>IFERROR(INDEX('Market Results'!$B:$B,MATCH(B122,'Market Results'!A:A,0)),"-")</f>
        <v>-</v>
      </c>
      <c r="G122" s="43" t="str">
        <f t="shared" si="16"/>
        <v>-</v>
      </c>
      <c r="H122" s="4" t="e">
        <f t="shared" si="17"/>
        <v>#REF!</v>
      </c>
      <c r="I122" s="4">
        <f>IFERROR(INDEX('Market Results'!$F:$F,MATCH(A122,'Market Results'!A:A,0)),"-")</f>
        <v>97782.680337657759</v>
      </c>
      <c r="J122" s="44" t="str">
        <f t="shared" si="18"/>
        <v>-</v>
      </c>
      <c r="L122" s="60" t="str">
        <f t="shared" si="14"/>
        <v>-</v>
      </c>
    </row>
    <row r="123" spans="1:12" ht="15.75" thickBot="1" x14ac:dyDescent="0.3">
      <c r="A123" s="2" t="s">
        <v>171</v>
      </c>
      <c r="B123" s="2" t="e">
        <f>INDEX(#REF!,MATCH(A123,#REF!,0))</f>
        <v>#REF!</v>
      </c>
      <c r="C123" s="52"/>
      <c r="D123" s="4" t="e">
        <f>AVERAGEIF(#REF!,A123,#REF!)</f>
        <v>#REF!</v>
      </c>
      <c r="E123" s="4" t="e">
        <f t="shared" si="15"/>
        <v>#REF!</v>
      </c>
      <c r="F123" s="4" t="str">
        <f>IFERROR(INDEX('Market Results'!$B:$B,MATCH(B123,'Market Results'!A:A,0)),"-")</f>
        <v>-</v>
      </c>
      <c r="G123" s="43" t="str">
        <f t="shared" si="16"/>
        <v>-</v>
      </c>
      <c r="H123" s="4" t="e">
        <f t="shared" si="17"/>
        <v>#REF!</v>
      </c>
      <c r="I123" s="4" t="str">
        <f>IFERROR(INDEX('Market Results'!$F:$F,MATCH(A123,'Market Results'!A:A,0)),"-")</f>
        <v>-</v>
      </c>
      <c r="J123" s="44" t="str">
        <f t="shared" si="18"/>
        <v>-</v>
      </c>
      <c r="L123" s="60" t="str">
        <f t="shared" si="14"/>
        <v>-</v>
      </c>
    </row>
    <row r="124" spans="1:12" ht="15.75" thickBot="1" x14ac:dyDescent="0.3">
      <c r="A124" s="2" t="s">
        <v>175</v>
      </c>
      <c r="B124" s="2" t="e">
        <f>INDEX(#REF!,MATCH(A124,#REF!,0))</f>
        <v>#REF!</v>
      </c>
      <c r="C124" s="52"/>
      <c r="D124" s="4" t="e">
        <f>AVERAGEIF(#REF!,A124,#REF!)</f>
        <v>#REF!</v>
      </c>
      <c r="E124" s="4" t="e">
        <f t="shared" si="15"/>
        <v>#REF!</v>
      </c>
      <c r="F124" s="4" t="str">
        <f>IFERROR(INDEX('Market Results'!$B:$B,MATCH(B124,'Market Results'!A:A,0)),"-")</f>
        <v>-</v>
      </c>
      <c r="G124" s="43" t="str">
        <f t="shared" si="16"/>
        <v>-</v>
      </c>
      <c r="H124" s="4" t="e">
        <f t="shared" si="17"/>
        <v>#REF!</v>
      </c>
      <c r="I124" s="4" t="str">
        <f>IFERROR(INDEX('Market Results'!$F:$F,MATCH(A124,'Market Results'!A:A,0)),"-")</f>
        <v>-</v>
      </c>
      <c r="J124" s="44" t="str">
        <f t="shared" si="18"/>
        <v>-</v>
      </c>
      <c r="L124" s="60" t="str">
        <f t="shared" si="14"/>
        <v>-</v>
      </c>
    </row>
    <row r="125" spans="1:12" ht="15.75" thickBot="1" x14ac:dyDescent="0.3">
      <c r="A125" s="2" t="s">
        <v>181</v>
      </c>
      <c r="B125" s="2" t="e">
        <f>INDEX(#REF!,MATCH(A125,#REF!,0))</f>
        <v>#REF!</v>
      </c>
      <c r="C125" s="52"/>
      <c r="D125" s="4" t="e">
        <f>AVERAGEIF(#REF!,A125,#REF!)</f>
        <v>#REF!</v>
      </c>
      <c r="E125" s="4" t="e">
        <f t="shared" si="15"/>
        <v>#REF!</v>
      </c>
      <c r="F125" s="4" t="str">
        <f>IFERROR(INDEX('Market Results'!$B:$B,MATCH(B125,'Market Results'!A:A,0)),"-")</f>
        <v>-</v>
      </c>
      <c r="G125" s="43" t="str">
        <f t="shared" si="16"/>
        <v>-</v>
      </c>
      <c r="H125" s="4" t="e">
        <f t="shared" si="17"/>
        <v>#REF!</v>
      </c>
      <c r="I125" s="4" t="str">
        <f>IFERROR(INDEX('Market Results'!$F:$F,MATCH(A125,'Market Results'!A:A,0)),"-")</f>
        <v>-</v>
      </c>
      <c r="J125" s="44" t="str">
        <f t="shared" si="18"/>
        <v>-</v>
      </c>
      <c r="L125" s="60" t="str">
        <f t="shared" si="14"/>
        <v>-</v>
      </c>
    </row>
    <row r="126" spans="1:12" ht="15.75" thickBot="1" x14ac:dyDescent="0.3">
      <c r="A126" s="2" t="s">
        <v>182</v>
      </c>
      <c r="B126" s="2" t="e">
        <f>INDEX(#REF!,MATCH(A126,#REF!,0))</f>
        <v>#REF!</v>
      </c>
      <c r="C126" s="52"/>
      <c r="D126" s="4" t="e">
        <f>AVERAGEIF(#REF!,A126,#REF!)</f>
        <v>#REF!</v>
      </c>
      <c r="E126" s="4" t="e">
        <f t="shared" si="15"/>
        <v>#REF!</v>
      </c>
      <c r="F126" s="4" t="str">
        <f>IFERROR(INDEX('Market Results'!$B:$B,MATCH(B126,'Market Results'!A:A,0)),"-")</f>
        <v>-</v>
      </c>
      <c r="G126" s="43" t="str">
        <f t="shared" si="16"/>
        <v>-</v>
      </c>
      <c r="H126" s="4" t="e">
        <f t="shared" si="17"/>
        <v>#REF!</v>
      </c>
      <c r="I126" s="4" t="str">
        <f>IFERROR(INDEX('Market Results'!$F:$F,MATCH(A126,'Market Results'!A:A,0)),"-")</f>
        <v>-</v>
      </c>
      <c r="J126" s="44" t="str">
        <f t="shared" si="18"/>
        <v>-</v>
      </c>
      <c r="L126" s="60" t="str">
        <f t="shared" si="14"/>
        <v>-</v>
      </c>
    </row>
    <row r="127" spans="1:12" ht="15.75" thickBot="1" x14ac:dyDescent="0.3">
      <c r="A127" s="2" t="s">
        <v>186</v>
      </c>
      <c r="B127" s="2" t="e">
        <f>INDEX(#REF!,MATCH(A127,#REF!,0))</f>
        <v>#REF!</v>
      </c>
      <c r="C127" s="52"/>
      <c r="D127" s="4" t="e">
        <f>AVERAGEIF(#REF!,A127,#REF!)</f>
        <v>#REF!</v>
      </c>
      <c r="E127" s="4" t="e">
        <f t="shared" si="15"/>
        <v>#REF!</v>
      </c>
      <c r="F127" s="4" t="str">
        <f>IFERROR(INDEX('Market Results'!$B:$B,MATCH(B127,'Market Results'!A:A,0)),"-")</f>
        <v>-</v>
      </c>
      <c r="G127" s="43" t="str">
        <f t="shared" si="16"/>
        <v>-</v>
      </c>
      <c r="H127" s="4" t="e">
        <f t="shared" si="17"/>
        <v>#REF!</v>
      </c>
      <c r="I127" s="4" t="str">
        <f>IFERROR(INDEX('Market Results'!$F:$F,MATCH(A127,'Market Results'!A:A,0)),"-")</f>
        <v>-</v>
      </c>
      <c r="J127" s="44" t="str">
        <f t="shared" si="18"/>
        <v>-</v>
      </c>
      <c r="L127" s="60" t="str">
        <f t="shared" si="14"/>
        <v>-</v>
      </c>
    </row>
    <row r="128" spans="1:12" ht="15.75" thickBot="1" x14ac:dyDescent="0.3">
      <c r="A128" s="2" t="s">
        <v>192</v>
      </c>
      <c r="B128" s="2" t="e">
        <f>INDEX(#REF!,MATCH(A128,#REF!,0))</f>
        <v>#REF!</v>
      </c>
      <c r="C128" s="52"/>
      <c r="D128" s="4" t="e">
        <f>AVERAGEIF(#REF!,A128,#REF!)</f>
        <v>#REF!</v>
      </c>
      <c r="E128" s="4" t="e">
        <f t="shared" si="15"/>
        <v>#REF!</v>
      </c>
      <c r="F128" s="4" t="str">
        <f>IFERROR(INDEX('Market Results'!$B:$B,MATCH(B128,'Market Results'!A:A,0)),"-")</f>
        <v>-</v>
      </c>
      <c r="G128" s="43" t="str">
        <f t="shared" si="16"/>
        <v>-</v>
      </c>
      <c r="H128" s="4" t="e">
        <f t="shared" si="17"/>
        <v>#REF!</v>
      </c>
      <c r="I128" s="4" t="str">
        <f>IFERROR(INDEX('Market Results'!$F:$F,MATCH(A128,'Market Results'!A:A,0)),"-")</f>
        <v>-</v>
      </c>
      <c r="J128" s="44" t="str">
        <f t="shared" si="18"/>
        <v>-</v>
      </c>
      <c r="L128" s="60" t="str">
        <f t="shared" si="14"/>
        <v>-</v>
      </c>
    </row>
    <row r="129" spans="1:35" ht="15.75" thickBot="1" x14ac:dyDescent="0.3">
      <c r="A129" s="2" t="s">
        <v>195</v>
      </c>
      <c r="B129" s="2" t="e">
        <f>INDEX(#REF!,MATCH(A129,#REF!,0))</f>
        <v>#REF!</v>
      </c>
      <c r="C129" s="52"/>
      <c r="D129" s="4" t="e">
        <f>AVERAGEIF(#REF!,A129,#REF!)</f>
        <v>#REF!</v>
      </c>
      <c r="E129" s="4" t="e">
        <f t="shared" si="15"/>
        <v>#REF!</v>
      </c>
      <c r="F129" s="4" t="str">
        <f>IFERROR(INDEX('Market Results'!$B:$B,MATCH(B129,'Market Results'!A:A,0)),"-")</f>
        <v>-</v>
      </c>
      <c r="G129" s="43" t="str">
        <f t="shared" si="16"/>
        <v>-</v>
      </c>
      <c r="H129" s="4" t="e">
        <f t="shared" si="17"/>
        <v>#REF!</v>
      </c>
      <c r="I129" s="4" t="str">
        <f>IFERROR(INDEX('Market Results'!$F:$F,MATCH(A129,'Market Results'!A:A,0)),"-")</f>
        <v>-</v>
      </c>
      <c r="J129" s="44" t="str">
        <f t="shared" si="18"/>
        <v>-</v>
      </c>
      <c r="L129" s="60" t="str">
        <f t="shared" si="14"/>
        <v>-</v>
      </c>
    </row>
    <row r="130" spans="1:35" ht="15.75" thickBot="1" x14ac:dyDescent="0.3">
      <c r="A130" s="2" t="s">
        <v>201</v>
      </c>
      <c r="B130" s="2" t="e">
        <f>INDEX(#REF!,MATCH(A130,#REF!,0))</f>
        <v>#REF!</v>
      </c>
      <c r="C130" s="52"/>
      <c r="D130" s="4" t="e">
        <f>AVERAGEIF(#REF!,A130,#REF!)</f>
        <v>#REF!</v>
      </c>
      <c r="E130" s="4" t="e">
        <f t="shared" si="15"/>
        <v>#REF!</v>
      </c>
      <c r="F130" s="4" t="str">
        <f>IFERROR(INDEX('Market Results'!$B:$B,MATCH(B130,'Market Results'!A:A,0)),"-")</f>
        <v>-</v>
      </c>
      <c r="G130" s="43" t="str">
        <f t="shared" si="16"/>
        <v>-</v>
      </c>
      <c r="H130" s="4" t="e">
        <f t="shared" si="17"/>
        <v>#REF!</v>
      </c>
      <c r="I130" s="4" t="str">
        <f>IFERROR(INDEX('Market Results'!$F:$F,MATCH(A130,'Market Results'!A:A,0)),"-")</f>
        <v>-</v>
      </c>
      <c r="J130" s="44" t="str">
        <f t="shared" si="18"/>
        <v>-</v>
      </c>
      <c r="L130" s="60" t="str">
        <f t="shared" si="14"/>
        <v>-</v>
      </c>
    </row>
    <row r="131" spans="1:35" ht="15.75" thickBot="1" x14ac:dyDescent="0.3">
      <c r="A131" s="2" t="s">
        <v>204</v>
      </c>
      <c r="B131" s="2" t="e">
        <f>INDEX(#REF!,MATCH(A131,#REF!,0))</f>
        <v>#REF!</v>
      </c>
      <c r="C131" s="52"/>
      <c r="D131" s="4" t="e">
        <f>AVERAGEIF(#REF!,A131,#REF!)</f>
        <v>#REF!</v>
      </c>
      <c r="E131" s="4" t="e">
        <f t="shared" si="15"/>
        <v>#REF!</v>
      </c>
      <c r="F131" s="4" t="str">
        <f>IFERROR(INDEX('Market Results'!$B:$B,MATCH(B131,'Market Results'!A:A,0)),"-")</f>
        <v>-</v>
      </c>
      <c r="G131" s="43" t="str">
        <f t="shared" si="16"/>
        <v>-</v>
      </c>
      <c r="H131" s="4" t="e">
        <f t="shared" si="17"/>
        <v>#REF!</v>
      </c>
      <c r="I131" s="4" t="str">
        <f>IFERROR(INDEX('Market Results'!$F:$F,MATCH(A131,'Market Results'!A:A,0)),"-")</f>
        <v>-</v>
      </c>
      <c r="J131" s="44" t="str">
        <f t="shared" si="18"/>
        <v>-</v>
      </c>
      <c r="L131" s="60" t="str">
        <f t="shared" si="14"/>
        <v>-</v>
      </c>
    </row>
    <row r="132" spans="1:35" ht="15.75" thickBot="1" x14ac:dyDescent="0.3">
      <c r="A132" s="2" t="s">
        <v>207</v>
      </c>
      <c r="B132" s="2" t="e">
        <f>INDEX(#REF!,MATCH(A132,#REF!,0))</f>
        <v>#REF!</v>
      </c>
      <c r="C132" s="52"/>
      <c r="D132" s="4" t="e">
        <f>AVERAGEIF(#REF!,A132,#REF!)</f>
        <v>#REF!</v>
      </c>
      <c r="E132" s="4" t="e">
        <f t="shared" si="15"/>
        <v>#REF!</v>
      </c>
      <c r="F132" s="4" t="str">
        <f>IFERROR(INDEX('Market Results'!$B:$B,MATCH(B132,'Market Results'!A:A,0)),"-")</f>
        <v>-</v>
      </c>
      <c r="G132" s="43" t="str">
        <f t="shared" si="16"/>
        <v>-</v>
      </c>
      <c r="H132" s="4" t="e">
        <f t="shared" si="17"/>
        <v>#REF!</v>
      </c>
      <c r="I132" s="4" t="str">
        <f>IFERROR(INDEX('Market Results'!$F:$F,MATCH(A132,'Market Results'!A:A,0)),"-")</f>
        <v>-</v>
      </c>
      <c r="J132" s="44" t="str">
        <f t="shared" si="18"/>
        <v>-</v>
      </c>
      <c r="L132" s="60" t="str">
        <f t="shared" si="14"/>
        <v>-</v>
      </c>
    </row>
    <row r="133" spans="1:35" ht="15.75" thickBot="1" x14ac:dyDescent="0.3">
      <c r="A133" s="2" t="s">
        <v>212</v>
      </c>
      <c r="B133" s="2" t="e">
        <f>INDEX(#REF!,MATCH(A133,#REF!,0))</f>
        <v>#REF!</v>
      </c>
      <c r="C133" s="52"/>
      <c r="D133" s="4" t="e">
        <f>AVERAGEIF(#REF!,A133,#REF!)</f>
        <v>#REF!</v>
      </c>
      <c r="E133" s="4" t="e">
        <f t="shared" si="15"/>
        <v>#REF!</v>
      </c>
      <c r="F133" s="4" t="str">
        <f>IFERROR(INDEX('Market Results'!$B:$B,MATCH(B133,'Market Results'!A:A,0)),"-")</f>
        <v>-</v>
      </c>
      <c r="G133" s="43" t="str">
        <f t="shared" si="16"/>
        <v>-</v>
      </c>
      <c r="H133" s="4" t="e">
        <f t="shared" si="17"/>
        <v>#REF!</v>
      </c>
      <c r="I133" s="4">
        <f>IFERROR(INDEX('Market Results'!$F:$F,MATCH(A133,'Market Results'!A:A,0)),"-")</f>
        <v>105916.69958760476</v>
      </c>
      <c r="J133" s="44" t="str">
        <f t="shared" si="18"/>
        <v>-</v>
      </c>
      <c r="L133" s="60" t="str">
        <f t="shared" si="14"/>
        <v>-</v>
      </c>
    </row>
    <row r="134" spans="1:35" ht="15.75" thickBot="1" x14ac:dyDescent="0.3">
      <c r="A134" s="2" t="s">
        <v>214</v>
      </c>
      <c r="B134" s="2" t="e">
        <f>INDEX(#REF!,MATCH(A134,#REF!,0))</f>
        <v>#REF!</v>
      </c>
      <c r="C134" s="52"/>
      <c r="D134" s="4" t="e">
        <f>AVERAGEIF(#REF!,A134,#REF!)</f>
        <v>#REF!</v>
      </c>
      <c r="E134" s="4" t="e">
        <f t="shared" si="15"/>
        <v>#REF!</v>
      </c>
      <c r="F134" s="4" t="str">
        <f>IFERROR(INDEX('Market Results'!$B:$B,MATCH(B134,'Market Results'!A:A,0)),"-")</f>
        <v>-</v>
      </c>
      <c r="G134" s="43" t="str">
        <f t="shared" si="16"/>
        <v>-</v>
      </c>
      <c r="H134" s="4" t="e">
        <f t="shared" si="17"/>
        <v>#REF!</v>
      </c>
      <c r="I134" s="4" t="str">
        <f>IFERROR(INDEX('Market Results'!$F:$F,MATCH(A134,'Market Results'!A:A,0)),"-")</f>
        <v>-</v>
      </c>
      <c r="J134" s="44" t="str">
        <f t="shared" si="18"/>
        <v>-</v>
      </c>
      <c r="L134" s="60" t="str">
        <f t="shared" si="14"/>
        <v>-</v>
      </c>
    </row>
    <row r="135" spans="1:35" ht="15.75" thickBot="1" x14ac:dyDescent="0.3">
      <c r="A135" s="2" t="s">
        <v>20</v>
      </c>
      <c r="B135" s="2" t="e">
        <f>INDEX(#REF!,MATCH(A135,#REF!,0))</f>
        <v>#REF!</v>
      </c>
      <c r="C135" s="52"/>
      <c r="D135" s="4" t="e">
        <f>AVERAGEIF(#REF!,A135,#REF!)</f>
        <v>#REF!</v>
      </c>
      <c r="E135" s="4" t="e">
        <f t="shared" si="15"/>
        <v>#REF!</v>
      </c>
      <c r="F135" s="4" t="str">
        <f>IFERROR(INDEX('Market Results'!$B:$B,MATCH(B135,'Market Results'!A:A,0)),"-")</f>
        <v>-</v>
      </c>
      <c r="G135" s="43" t="str">
        <f t="shared" si="16"/>
        <v>-</v>
      </c>
      <c r="H135" s="4" t="e">
        <f t="shared" si="17"/>
        <v>#REF!</v>
      </c>
      <c r="I135" s="4" t="str">
        <f>IFERROR(INDEX('Market Results'!$F:$F,MATCH(A135,'Market Results'!A:A,0)),"-")</f>
        <v>-</v>
      </c>
      <c r="J135" s="44" t="str">
        <f t="shared" si="18"/>
        <v>-</v>
      </c>
      <c r="L135" s="60" t="str">
        <f t="shared" si="14"/>
        <v>-</v>
      </c>
    </row>
    <row r="136" spans="1:35" ht="15.75" thickBot="1" x14ac:dyDescent="0.3">
      <c r="A136" s="2" t="s">
        <v>91</v>
      </c>
      <c r="B136" s="2" t="e">
        <f>INDEX(#REF!,MATCH(A136,#REF!,0))</f>
        <v>#REF!</v>
      </c>
      <c r="C136" s="52"/>
      <c r="D136" s="4" t="e">
        <f>AVERAGEIF(#REF!,A136,#REF!)</f>
        <v>#REF!</v>
      </c>
      <c r="E136" s="4" t="e">
        <f t="shared" si="15"/>
        <v>#REF!</v>
      </c>
      <c r="F136" s="4" t="str">
        <f>IFERROR(INDEX('Market Results'!$B:$B,MATCH(B136,'Market Results'!A:A,0)),"-")</f>
        <v>-</v>
      </c>
      <c r="G136" s="43" t="str">
        <f t="shared" si="16"/>
        <v>-</v>
      </c>
      <c r="H136" s="4" t="e">
        <f t="shared" si="17"/>
        <v>#REF!</v>
      </c>
      <c r="I136" s="4" t="str">
        <f>IFERROR(INDEX('Market Results'!$F:$F,MATCH(A136,'Market Results'!A:A,0)),"-")</f>
        <v>-</v>
      </c>
      <c r="J136" s="44" t="str">
        <f t="shared" si="18"/>
        <v>-</v>
      </c>
      <c r="L136" s="60" t="str">
        <f t="shared" si="14"/>
        <v>-</v>
      </c>
    </row>
    <row r="137" spans="1:35" ht="15.75" thickBot="1" x14ac:dyDescent="0.3">
      <c r="A137" s="2" t="s">
        <v>92</v>
      </c>
      <c r="B137" s="2" t="e">
        <f>INDEX(#REF!,MATCH(A137,#REF!,0))</f>
        <v>#REF!</v>
      </c>
      <c r="C137" s="52"/>
      <c r="D137" s="4" t="e">
        <f>AVERAGEIF(#REF!,A137,#REF!)</f>
        <v>#REF!</v>
      </c>
      <c r="E137" s="4" t="e">
        <f t="shared" si="15"/>
        <v>#REF!</v>
      </c>
      <c r="F137" s="4" t="str">
        <f>IFERROR(INDEX('Market Results'!$B:$B,MATCH(B137,'Market Results'!A:A,0)),"-")</f>
        <v>-</v>
      </c>
      <c r="G137" s="43" t="str">
        <f t="shared" si="16"/>
        <v>-</v>
      </c>
      <c r="H137" s="4" t="e">
        <f t="shared" si="17"/>
        <v>#REF!</v>
      </c>
      <c r="I137" s="4" t="str">
        <f>IFERROR(INDEX('Market Results'!$F:$F,MATCH(A137,'Market Results'!A:A,0)),"-")</f>
        <v>-</v>
      </c>
      <c r="J137" s="44" t="str">
        <f t="shared" si="18"/>
        <v>-</v>
      </c>
      <c r="L137" s="60" t="str">
        <f t="shared" si="14"/>
        <v>-</v>
      </c>
    </row>
    <row r="138" spans="1:35" ht="15.75" thickBot="1" x14ac:dyDescent="0.3">
      <c r="A138" s="2" t="s">
        <v>105</v>
      </c>
      <c r="B138" s="2" t="e">
        <f>INDEX(#REF!,MATCH(A138,#REF!,0))</f>
        <v>#REF!</v>
      </c>
      <c r="C138" s="52"/>
      <c r="D138" s="4" t="e">
        <f>AVERAGEIF(#REF!,A138,#REF!)</f>
        <v>#REF!</v>
      </c>
      <c r="E138" s="4" t="e">
        <f t="shared" si="15"/>
        <v>#REF!</v>
      </c>
      <c r="F138" s="4" t="str">
        <f>IFERROR(INDEX('Market Results'!$B:$B,MATCH(B138,'Market Results'!A:A,0)),"-")</f>
        <v>-</v>
      </c>
      <c r="G138" s="43" t="str">
        <f t="shared" si="16"/>
        <v>-</v>
      </c>
      <c r="H138" s="4" t="e">
        <f t="shared" si="17"/>
        <v>#REF!</v>
      </c>
      <c r="I138" s="4">
        <f>IFERROR(INDEX('Market Results'!$F:$F,MATCH(A138,'Market Results'!A:A,0)),"-")</f>
        <v>102701.65048084359</v>
      </c>
      <c r="J138" s="44" t="str">
        <f t="shared" si="18"/>
        <v>-</v>
      </c>
      <c r="L138" s="61" t="str">
        <f t="shared" si="14"/>
        <v>-</v>
      </c>
    </row>
    <row r="139" spans="1:35" ht="15.75" thickBot="1" x14ac:dyDescent="0.3">
      <c r="A139" s="38" t="s">
        <v>254</v>
      </c>
      <c r="B139" s="39"/>
      <c r="C139" s="39"/>
      <c r="D139" s="51" t="e">
        <f t="shared" ref="D139:J139" si="19">AVERAGE(D14:D138)</f>
        <v>#REF!</v>
      </c>
      <c r="E139" s="51" t="e">
        <f t="shared" si="19"/>
        <v>#REF!</v>
      </c>
      <c r="F139" s="40" t="e">
        <f t="shared" si="19"/>
        <v>#DIV/0!</v>
      </c>
      <c r="G139" s="41" t="e">
        <f t="shared" si="19"/>
        <v>#DIV/0!</v>
      </c>
      <c r="H139" s="40" t="e">
        <f t="shared" si="19"/>
        <v>#REF!</v>
      </c>
      <c r="I139" s="40">
        <f t="shared" si="19"/>
        <v>88361.210714005516</v>
      </c>
      <c r="J139" s="42" t="e">
        <f t="shared" si="19"/>
        <v>#DIV/0!</v>
      </c>
      <c r="L139" s="64" t="str">
        <f t="shared" si="14"/>
        <v>-</v>
      </c>
    </row>
    <row r="142" spans="1:35" ht="15.75" thickBot="1" x14ac:dyDescent="0.3">
      <c r="A142" t="s">
        <v>290</v>
      </c>
    </row>
    <row r="143" spans="1:35" x14ac:dyDescent="0.25">
      <c r="A143" s="28" t="s">
        <v>289</v>
      </c>
      <c r="B143" s="28">
        <v>0</v>
      </c>
      <c r="C143" s="28">
        <v>1</v>
      </c>
      <c r="D143" s="28">
        <v>2</v>
      </c>
      <c r="E143" s="28">
        <v>3</v>
      </c>
      <c r="F143" s="28">
        <v>4</v>
      </c>
      <c r="G143" s="28">
        <v>5</v>
      </c>
      <c r="H143" s="28">
        <v>6</v>
      </c>
      <c r="I143" s="28">
        <v>7</v>
      </c>
      <c r="J143" s="28">
        <v>8</v>
      </c>
      <c r="K143" s="28">
        <v>9</v>
      </c>
      <c r="L143" s="28">
        <v>10</v>
      </c>
      <c r="M143" s="28">
        <v>11</v>
      </c>
      <c r="N143" s="28">
        <v>12</v>
      </c>
      <c r="O143" s="28">
        <v>13</v>
      </c>
      <c r="P143" s="28">
        <v>14</v>
      </c>
      <c r="Q143" s="28">
        <v>15</v>
      </c>
      <c r="R143" s="28">
        <v>16</v>
      </c>
      <c r="S143" s="28">
        <v>17</v>
      </c>
      <c r="T143" s="28">
        <v>18</v>
      </c>
      <c r="U143" s="28">
        <v>19</v>
      </c>
      <c r="V143" s="28">
        <v>20</v>
      </c>
      <c r="W143" s="28">
        <v>21</v>
      </c>
      <c r="X143" s="28">
        <v>22</v>
      </c>
      <c r="Y143" s="28">
        <v>23</v>
      </c>
      <c r="Z143" s="28">
        <v>24</v>
      </c>
      <c r="AA143" s="28">
        <v>25</v>
      </c>
      <c r="AB143" s="28">
        <v>26</v>
      </c>
      <c r="AC143" s="28">
        <v>27</v>
      </c>
      <c r="AD143" s="28">
        <v>28</v>
      </c>
      <c r="AE143" s="28">
        <v>29</v>
      </c>
      <c r="AF143" s="53">
        <v>30</v>
      </c>
      <c r="AG143" s="28">
        <v>31</v>
      </c>
      <c r="AH143" s="28">
        <v>32</v>
      </c>
      <c r="AI143" s="53">
        <v>33</v>
      </c>
    </row>
    <row r="144" spans="1:35" x14ac:dyDescent="0.25">
      <c r="A144" s="45" t="s">
        <v>48</v>
      </c>
      <c r="B144" s="2" t="e">
        <f>INDEX(#REF!,MATCH($A144,#REF!,0))</f>
        <v>#REF!</v>
      </c>
      <c r="C144" s="2" t="e">
        <f>INDEX(#REF!,MATCH($A144,#REF!,0))</f>
        <v>#REF!</v>
      </c>
      <c r="D144" s="2" t="e">
        <f>INDEX(#REF!,MATCH($A144,#REF!,0))</f>
        <v>#REF!</v>
      </c>
      <c r="E144" s="2" t="e">
        <f>INDEX(#REF!,MATCH($A144,#REF!,0))</f>
        <v>#REF!</v>
      </c>
      <c r="F144" s="2" t="e">
        <f>INDEX(#REF!,MATCH($A144,#REF!,0))</f>
        <v>#REF!</v>
      </c>
      <c r="G144" s="2" t="e">
        <f>INDEX(#REF!,MATCH($A144,#REF!,0))</f>
        <v>#REF!</v>
      </c>
      <c r="H144" s="2" t="e">
        <f>INDEX(#REF!,MATCH($A144,#REF!,0))</f>
        <v>#REF!</v>
      </c>
      <c r="I144" s="2" t="e">
        <f>INDEX(#REF!,MATCH($A144,#REF!,0))</f>
        <v>#REF!</v>
      </c>
      <c r="J144" s="2" t="e">
        <f>INDEX(#REF!,MATCH($A144,#REF!,0))</f>
        <v>#REF!</v>
      </c>
      <c r="K144" s="2" t="e">
        <f>INDEX(#REF!,MATCH($A144,#REF!,0))</f>
        <v>#REF!</v>
      </c>
      <c r="L144" s="2" t="e">
        <f>INDEX(#REF!,MATCH($A144,#REF!,0))</f>
        <v>#REF!</v>
      </c>
      <c r="M144" s="2" t="e">
        <f>INDEX(#REF!,MATCH($A144,#REF!,0))</f>
        <v>#REF!</v>
      </c>
      <c r="N144" s="2" t="e">
        <f>INDEX(#REF!,MATCH($A144,#REF!,0))</f>
        <v>#REF!</v>
      </c>
      <c r="O144" s="2" t="e">
        <f>INDEX(#REF!,MATCH($A144,#REF!,0))</f>
        <v>#REF!</v>
      </c>
      <c r="P144" s="2" t="e">
        <f>INDEX(#REF!,MATCH($A144,#REF!,0))</f>
        <v>#REF!</v>
      </c>
      <c r="Q144" s="2" t="e">
        <f>INDEX(#REF!,MATCH($A144,#REF!,0))</f>
        <v>#REF!</v>
      </c>
      <c r="R144" s="2" t="e">
        <f>INDEX(#REF!,MATCH($A144,#REF!,0))</f>
        <v>#REF!</v>
      </c>
      <c r="S144" s="2" t="e">
        <f>INDEX(#REF!,MATCH($A144,#REF!,0))</f>
        <v>#REF!</v>
      </c>
      <c r="T144" s="2" t="e">
        <f>INDEX(#REF!,MATCH($A144,#REF!,0))</f>
        <v>#REF!</v>
      </c>
      <c r="U144" s="2" t="e">
        <f>INDEX(#REF!,MATCH($A144,#REF!,0))</f>
        <v>#REF!</v>
      </c>
      <c r="V144" s="2" t="e">
        <f>INDEX(#REF!,MATCH($A144,#REF!,0))</f>
        <v>#REF!</v>
      </c>
      <c r="W144" s="2" t="e">
        <f>INDEX(#REF!,MATCH($A144,#REF!,0))</f>
        <v>#REF!</v>
      </c>
      <c r="X144" s="2" t="e">
        <f>INDEX(#REF!,MATCH($A144,#REF!,0))</f>
        <v>#REF!</v>
      </c>
      <c r="Y144" s="2" t="e">
        <f>INDEX(#REF!,MATCH($A144,#REF!,0))</f>
        <v>#REF!</v>
      </c>
      <c r="Z144" s="2" t="e">
        <f>INDEX(#REF!,MATCH($A144,#REF!,0))</f>
        <v>#REF!</v>
      </c>
      <c r="AA144" s="2" t="e">
        <f>INDEX(#REF!,MATCH($A144,#REF!,0))</f>
        <v>#REF!</v>
      </c>
      <c r="AB144" s="2" t="e">
        <f>INDEX(#REF!,MATCH($A144,#REF!,0))</f>
        <v>#REF!</v>
      </c>
      <c r="AC144" s="2" t="e">
        <f>INDEX(#REF!,MATCH($A144,#REF!,0))</f>
        <v>#REF!</v>
      </c>
      <c r="AD144" s="2" t="e">
        <f>INDEX(#REF!,MATCH($A144,#REF!,0))</f>
        <v>#REF!</v>
      </c>
      <c r="AE144" s="2" t="e">
        <f>INDEX(#REF!,MATCH($A144,#REF!,0))</f>
        <v>#REF!</v>
      </c>
      <c r="AF144" s="2" t="e">
        <f>INDEX(#REF!,MATCH($A144,#REF!,0))</f>
        <v>#REF!</v>
      </c>
      <c r="AG144" s="2" t="e">
        <f>INDEX(#REF!,MATCH($A144,#REF!,0))</f>
        <v>#REF!</v>
      </c>
      <c r="AH144" s="2" t="e">
        <f>INDEX(#REF!,MATCH($A144,#REF!,0))</f>
        <v>#REF!</v>
      </c>
      <c r="AI144" s="2" t="e">
        <f>INDEX(#REF!,MATCH($A144,#REF!,0))</f>
        <v>#REF!</v>
      </c>
    </row>
    <row r="145" spans="1:37" x14ac:dyDescent="0.25">
      <c r="A145" s="45" t="s">
        <v>58</v>
      </c>
      <c r="B145" s="2" t="e">
        <f>INDEX(#REF!,MATCH($A145,#REF!,0))</f>
        <v>#REF!</v>
      </c>
      <c r="C145" s="2" t="e">
        <f>INDEX(#REF!,MATCH($A145,#REF!,0))</f>
        <v>#REF!</v>
      </c>
      <c r="D145" s="2" t="e">
        <f>INDEX(#REF!,MATCH($A145,#REF!,0))</f>
        <v>#REF!</v>
      </c>
      <c r="E145" s="2" t="e">
        <f>INDEX(#REF!,MATCH($A145,#REF!,0))</f>
        <v>#REF!</v>
      </c>
      <c r="F145" s="2" t="e">
        <f>INDEX(#REF!,MATCH($A145,#REF!,0))</f>
        <v>#REF!</v>
      </c>
      <c r="G145" s="2" t="e">
        <f>INDEX(#REF!,MATCH($A145,#REF!,0))</f>
        <v>#REF!</v>
      </c>
      <c r="H145" s="2" t="e">
        <f>INDEX(#REF!,MATCH($A145,#REF!,0))</f>
        <v>#REF!</v>
      </c>
      <c r="I145" s="2" t="e">
        <f>INDEX(#REF!,MATCH($A145,#REF!,0))</f>
        <v>#REF!</v>
      </c>
      <c r="J145" s="2" t="e">
        <f>INDEX(#REF!,MATCH($A145,#REF!,0))</f>
        <v>#REF!</v>
      </c>
      <c r="K145" s="2" t="e">
        <f>INDEX(#REF!,MATCH($A145,#REF!,0))</f>
        <v>#REF!</v>
      </c>
      <c r="L145" s="2" t="e">
        <f>INDEX(#REF!,MATCH($A145,#REF!,0))</f>
        <v>#REF!</v>
      </c>
      <c r="M145" s="2" t="e">
        <f>INDEX(#REF!,MATCH($A145,#REF!,0))</f>
        <v>#REF!</v>
      </c>
      <c r="N145" s="2" t="e">
        <f>INDEX(#REF!,MATCH($A145,#REF!,0))</f>
        <v>#REF!</v>
      </c>
      <c r="O145" s="2" t="e">
        <f>INDEX(#REF!,MATCH($A145,#REF!,0))</f>
        <v>#REF!</v>
      </c>
      <c r="P145" s="2" t="e">
        <f>INDEX(#REF!,MATCH($A145,#REF!,0))</f>
        <v>#REF!</v>
      </c>
      <c r="Q145" s="2" t="e">
        <f>INDEX(#REF!,MATCH($A145,#REF!,0))</f>
        <v>#REF!</v>
      </c>
      <c r="R145" s="2" t="e">
        <f>INDEX(#REF!,MATCH($A145,#REF!,0))</f>
        <v>#REF!</v>
      </c>
      <c r="S145" s="2" t="e">
        <f>INDEX(#REF!,MATCH($A145,#REF!,0))</f>
        <v>#REF!</v>
      </c>
      <c r="T145" s="2" t="e">
        <f>INDEX(#REF!,MATCH($A145,#REF!,0))</f>
        <v>#REF!</v>
      </c>
      <c r="U145" s="2" t="e">
        <f>INDEX(#REF!,MATCH($A145,#REF!,0))</f>
        <v>#REF!</v>
      </c>
      <c r="V145" s="2" t="e">
        <f>INDEX(#REF!,MATCH($A145,#REF!,0))</f>
        <v>#REF!</v>
      </c>
      <c r="W145" s="2" t="e">
        <f>INDEX(#REF!,MATCH($A145,#REF!,0))</f>
        <v>#REF!</v>
      </c>
      <c r="X145" s="2" t="e">
        <f>INDEX(#REF!,MATCH($A145,#REF!,0))</f>
        <v>#REF!</v>
      </c>
      <c r="Y145" s="2" t="e">
        <f>INDEX(#REF!,MATCH($A145,#REF!,0))</f>
        <v>#REF!</v>
      </c>
      <c r="Z145" s="2" t="e">
        <f>INDEX(#REF!,MATCH($A145,#REF!,0))</f>
        <v>#REF!</v>
      </c>
      <c r="AA145" s="2" t="e">
        <f>INDEX(#REF!,MATCH($A145,#REF!,0))</f>
        <v>#REF!</v>
      </c>
      <c r="AB145" s="33"/>
      <c r="AC145" s="33"/>
      <c r="AD145" s="33"/>
      <c r="AE145" s="33"/>
      <c r="AF145" s="26"/>
    </row>
    <row r="146" spans="1:37" ht="15.75" thickBot="1" x14ac:dyDescent="0.3">
      <c r="A146" s="65" t="s">
        <v>122</v>
      </c>
      <c r="B146" s="2" t="e">
        <f>INDEX(#REF!,MATCH($A146,#REF!,0))</f>
        <v>#REF!</v>
      </c>
      <c r="C146" s="2" t="e">
        <f>INDEX(#REF!,MATCH($A146,#REF!,0))</f>
        <v>#REF!</v>
      </c>
      <c r="D146" s="2" t="e">
        <f>INDEX(#REF!,MATCH($A146,#REF!,0))</f>
        <v>#REF!</v>
      </c>
      <c r="E146" s="2" t="e">
        <f>INDEX(#REF!,MATCH($A146,#REF!,0))</f>
        <v>#REF!</v>
      </c>
      <c r="F146" s="2" t="e">
        <f>INDEX(#REF!,MATCH($A146,#REF!,0))</f>
        <v>#REF!</v>
      </c>
      <c r="G146" s="2" t="e">
        <f>INDEX(#REF!,MATCH($A146,#REF!,0))</f>
        <v>#REF!</v>
      </c>
      <c r="H146" s="2" t="e">
        <f>INDEX(#REF!,MATCH($A146,#REF!,0))</f>
        <v>#REF!</v>
      </c>
      <c r="I146" s="2" t="e">
        <f>INDEX(#REF!,MATCH($A146,#REF!,0))</f>
        <v>#REF!</v>
      </c>
      <c r="J146" s="2" t="e">
        <f>INDEX(#REF!,MATCH($A146,#REF!,0))</f>
        <v>#REF!</v>
      </c>
      <c r="K146" s="2" t="e">
        <f>INDEX(#REF!,MATCH($A146,#REF!,0))</f>
        <v>#REF!</v>
      </c>
      <c r="L146" s="2" t="e">
        <f>INDEX(#REF!,MATCH($A146,#REF!,0))</f>
        <v>#REF!</v>
      </c>
      <c r="M146" s="2" t="e">
        <f>INDEX(#REF!,MATCH($A146,#REF!,0))</f>
        <v>#REF!</v>
      </c>
      <c r="N146" s="2" t="e">
        <f>INDEX(#REF!,MATCH($A146,#REF!,0))</f>
        <v>#REF!</v>
      </c>
      <c r="O146" s="2" t="e">
        <f>INDEX(#REF!,MATCH($A146,#REF!,0))</f>
        <v>#REF!</v>
      </c>
      <c r="P146" s="2" t="e">
        <f>INDEX(#REF!,MATCH($A146,#REF!,0))</f>
        <v>#REF!</v>
      </c>
      <c r="Q146" s="2" t="e">
        <f>INDEX(#REF!,MATCH($A146,#REF!,0))</f>
        <v>#REF!</v>
      </c>
      <c r="R146" s="2" t="e">
        <f>INDEX(#REF!,MATCH($A146,#REF!,0))</f>
        <v>#REF!</v>
      </c>
      <c r="S146" s="2" t="e">
        <f>INDEX(#REF!,MATCH($A146,#REF!,0))</f>
        <v>#REF!</v>
      </c>
      <c r="T146" s="2" t="e">
        <f>INDEX(#REF!,MATCH($A146,#REF!,0))</f>
        <v>#REF!</v>
      </c>
      <c r="U146" s="2" t="e">
        <f>INDEX(#REF!,MATCH($A146,#REF!,0))</f>
        <v>#REF!</v>
      </c>
      <c r="V146" s="2" t="e">
        <f>INDEX(#REF!,MATCH($A146,#REF!,0))</f>
        <v>#REF!</v>
      </c>
      <c r="W146" s="2" t="e">
        <f>INDEX(#REF!,MATCH($A146,#REF!,0))</f>
        <v>#REF!</v>
      </c>
      <c r="X146" s="2" t="e">
        <f>INDEX(#REF!,MATCH($A146,#REF!,0))</f>
        <v>#REF!</v>
      </c>
      <c r="Y146" s="2" t="e">
        <f>INDEX(#REF!,MATCH($A146,#REF!,0))</f>
        <v>#REF!</v>
      </c>
      <c r="Z146" s="2" t="e">
        <f>INDEX(#REF!,MATCH($A146,#REF!,0))</f>
        <v>#REF!</v>
      </c>
      <c r="AA146" s="2" t="e">
        <f>INDEX(#REF!,MATCH($A146,#REF!,0))</f>
        <v>#REF!</v>
      </c>
      <c r="AB146" s="2" t="e">
        <f>INDEX(#REF!,MATCH($A146,#REF!,0))</f>
        <v>#REF!</v>
      </c>
      <c r="AC146" s="2" t="e">
        <f>INDEX(#REF!,MATCH($A146,#REF!,0))</f>
        <v>#REF!</v>
      </c>
      <c r="AD146" s="2" t="e">
        <f>INDEX(#REF!,MATCH($A146,#REF!,0))</f>
        <v>#REF!</v>
      </c>
      <c r="AE146" s="2" t="e">
        <f>INDEX(#REF!,MATCH($A146,#REF!,0))</f>
        <v>#REF!</v>
      </c>
      <c r="AF146" s="2" t="e">
        <f>INDEX(#REF!,MATCH($A146,#REF!,0))</f>
        <v>#REF!</v>
      </c>
    </row>
    <row r="147" spans="1:37" ht="15.75" thickBot="1" x14ac:dyDescent="0.3"/>
    <row r="148" spans="1:37" x14ac:dyDescent="0.25">
      <c r="B148" s="28" t="s">
        <v>289</v>
      </c>
      <c r="C148" s="53">
        <v>0</v>
      </c>
      <c r="D148" s="31">
        <v>1</v>
      </c>
      <c r="E148" s="28">
        <v>2</v>
      </c>
      <c r="F148" s="28">
        <v>3</v>
      </c>
      <c r="G148" s="28">
        <v>4</v>
      </c>
      <c r="H148" s="28">
        <v>5</v>
      </c>
      <c r="I148" s="28">
        <v>6</v>
      </c>
      <c r="J148" s="28">
        <v>7</v>
      </c>
      <c r="K148" s="28">
        <v>8</v>
      </c>
      <c r="L148" s="28">
        <v>9</v>
      </c>
      <c r="M148" s="28">
        <v>10</v>
      </c>
      <c r="N148" s="28">
        <v>11</v>
      </c>
      <c r="O148" s="28">
        <v>12</v>
      </c>
      <c r="P148" s="28">
        <v>13</v>
      </c>
      <c r="Q148" s="28">
        <v>14</v>
      </c>
      <c r="R148" s="28">
        <v>15</v>
      </c>
      <c r="S148" s="28">
        <v>16</v>
      </c>
      <c r="T148" s="28">
        <v>17</v>
      </c>
      <c r="U148" s="28">
        <v>18</v>
      </c>
      <c r="V148" s="28">
        <v>19</v>
      </c>
      <c r="W148" s="28">
        <v>20</v>
      </c>
      <c r="X148" s="28">
        <v>21</v>
      </c>
      <c r="Y148" s="28">
        <v>22</v>
      </c>
      <c r="Z148" s="28">
        <v>23</v>
      </c>
      <c r="AA148" s="28">
        <v>24</v>
      </c>
      <c r="AB148" s="28">
        <v>25</v>
      </c>
      <c r="AC148" s="28">
        <v>26</v>
      </c>
      <c r="AD148" s="28">
        <v>27</v>
      </c>
      <c r="AE148" s="28">
        <v>28</v>
      </c>
      <c r="AF148" s="28">
        <v>29</v>
      </c>
      <c r="AG148" s="28">
        <v>30</v>
      </c>
      <c r="AH148" s="28">
        <v>31</v>
      </c>
      <c r="AI148" s="28" t="s">
        <v>254</v>
      </c>
    </row>
    <row r="149" spans="1:37" x14ac:dyDescent="0.25">
      <c r="B149" s="30" t="s">
        <v>48</v>
      </c>
      <c r="C149" s="59" t="e">
        <f>(C144-B144)/B144</f>
        <v>#REF!</v>
      </c>
      <c r="D149" s="72" t="e">
        <f t="shared" ref="D149:AF151" si="20">(D144-C144)/C144</f>
        <v>#REF!</v>
      </c>
      <c r="E149" s="72" t="e">
        <f t="shared" si="20"/>
        <v>#REF!</v>
      </c>
      <c r="F149" s="72" t="e">
        <f t="shared" si="20"/>
        <v>#REF!</v>
      </c>
      <c r="G149" s="72" t="e">
        <f t="shared" si="20"/>
        <v>#REF!</v>
      </c>
      <c r="H149" s="72" t="e">
        <f t="shared" si="20"/>
        <v>#REF!</v>
      </c>
      <c r="I149" s="72" t="e">
        <f t="shared" si="20"/>
        <v>#REF!</v>
      </c>
      <c r="J149" s="72" t="e">
        <f t="shared" si="20"/>
        <v>#REF!</v>
      </c>
      <c r="K149" s="72" t="e">
        <f t="shared" si="20"/>
        <v>#REF!</v>
      </c>
      <c r="L149" s="72" t="e">
        <f t="shared" si="20"/>
        <v>#REF!</v>
      </c>
      <c r="M149" s="72" t="e">
        <f t="shared" si="20"/>
        <v>#REF!</v>
      </c>
      <c r="N149" s="72" t="e">
        <f t="shared" si="20"/>
        <v>#REF!</v>
      </c>
      <c r="O149" s="72" t="e">
        <f t="shared" si="20"/>
        <v>#REF!</v>
      </c>
      <c r="P149" s="72" t="e">
        <f t="shared" si="20"/>
        <v>#REF!</v>
      </c>
      <c r="Q149" s="72" t="e">
        <f t="shared" si="20"/>
        <v>#REF!</v>
      </c>
      <c r="R149" s="72" t="e">
        <f t="shared" si="20"/>
        <v>#REF!</v>
      </c>
      <c r="S149" s="72" t="e">
        <f t="shared" si="20"/>
        <v>#REF!</v>
      </c>
      <c r="T149" s="72" t="e">
        <f t="shared" si="20"/>
        <v>#REF!</v>
      </c>
      <c r="U149" s="72" t="e">
        <f t="shared" si="20"/>
        <v>#REF!</v>
      </c>
      <c r="V149" s="72" t="e">
        <f t="shared" si="20"/>
        <v>#REF!</v>
      </c>
      <c r="W149" s="72" t="e">
        <f t="shared" si="20"/>
        <v>#REF!</v>
      </c>
      <c r="X149" s="72" t="e">
        <f t="shared" si="20"/>
        <v>#REF!</v>
      </c>
      <c r="Y149" s="72" t="e">
        <f t="shared" si="20"/>
        <v>#REF!</v>
      </c>
      <c r="Z149" s="72" t="e">
        <f t="shared" si="20"/>
        <v>#REF!</v>
      </c>
      <c r="AA149" s="72" t="e">
        <f t="shared" ref="AA149" si="21">(AA144-Z144)/Z144</f>
        <v>#REF!</v>
      </c>
      <c r="AB149" s="72" t="e">
        <f t="shared" ref="AB149" si="22">(AB144-AA144)/AA144</f>
        <v>#REF!</v>
      </c>
      <c r="AC149" s="72" t="e">
        <f t="shared" ref="AC149" si="23">(AC144-AB144)/AB144</f>
        <v>#REF!</v>
      </c>
      <c r="AD149" s="72" t="e">
        <f t="shared" ref="AD149" si="24">(AD144-AC144)/AC144</f>
        <v>#REF!</v>
      </c>
      <c r="AE149" s="72" t="e">
        <f t="shared" ref="AE149" si="25">(AE144-AD144)/AD144</f>
        <v>#REF!</v>
      </c>
      <c r="AF149" s="72" t="e">
        <f t="shared" ref="AF149" si="26">(AF144-AE144)/AE144</f>
        <v>#REF!</v>
      </c>
      <c r="AG149" s="72" t="e">
        <f t="shared" ref="AG149" si="27">(AG144-AF144)/AF144</f>
        <v>#REF!</v>
      </c>
      <c r="AH149" s="72" t="e">
        <f t="shared" ref="AH149" si="28">(AH144-AG144)/AG144</f>
        <v>#REF!</v>
      </c>
      <c r="AI149" s="113" t="e">
        <f>AVERAGE(C149:AH149)</f>
        <v>#REF!</v>
      </c>
      <c r="AJ149" s="72"/>
      <c r="AK149" s="72"/>
    </row>
    <row r="150" spans="1:37" x14ac:dyDescent="0.25">
      <c r="B150" s="30" t="s">
        <v>58</v>
      </c>
      <c r="C150" s="59" t="e">
        <f t="shared" ref="C150:R151" si="29">(C145-B145)/B145</f>
        <v>#REF!</v>
      </c>
      <c r="D150" s="72" t="e">
        <f t="shared" si="29"/>
        <v>#REF!</v>
      </c>
      <c r="E150" s="72" t="e">
        <f t="shared" si="29"/>
        <v>#REF!</v>
      </c>
      <c r="F150" s="72" t="e">
        <f t="shared" si="29"/>
        <v>#REF!</v>
      </c>
      <c r="G150" s="72" t="e">
        <f t="shared" si="29"/>
        <v>#REF!</v>
      </c>
      <c r="H150" s="72" t="e">
        <f t="shared" si="29"/>
        <v>#REF!</v>
      </c>
      <c r="I150" s="72" t="e">
        <f t="shared" si="29"/>
        <v>#REF!</v>
      </c>
      <c r="J150" s="72" t="e">
        <f t="shared" si="29"/>
        <v>#REF!</v>
      </c>
      <c r="K150" s="72" t="e">
        <f t="shared" si="29"/>
        <v>#REF!</v>
      </c>
      <c r="L150" s="72" t="e">
        <f t="shared" si="29"/>
        <v>#REF!</v>
      </c>
      <c r="M150" s="72" t="e">
        <f t="shared" si="29"/>
        <v>#REF!</v>
      </c>
      <c r="N150" s="72" t="e">
        <f t="shared" si="29"/>
        <v>#REF!</v>
      </c>
      <c r="O150" s="72" t="e">
        <f t="shared" si="29"/>
        <v>#REF!</v>
      </c>
      <c r="P150" s="72" t="e">
        <f t="shared" si="29"/>
        <v>#REF!</v>
      </c>
      <c r="Q150" s="72" t="e">
        <f t="shared" si="29"/>
        <v>#REF!</v>
      </c>
      <c r="R150" s="72" t="e">
        <f t="shared" si="29"/>
        <v>#REF!</v>
      </c>
      <c r="S150" s="72" t="e">
        <f t="shared" si="20"/>
        <v>#REF!</v>
      </c>
      <c r="T150" s="72" t="e">
        <f t="shared" si="20"/>
        <v>#REF!</v>
      </c>
      <c r="U150" s="72" t="e">
        <f t="shared" si="20"/>
        <v>#REF!</v>
      </c>
      <c r="V150" s="72" t="e">
        <f t="shared" si="20"/>
        <v>#REF!</v>
      </c>
      <c r="W150" s="72" t="e">
        <f t="shared" si="20"/>
        <v>#REF!</v>
      </c>
      <c r="X150" s="72" t="e">
        <f t="shared" si="20"/>
        <v>#REF!</v>
      </c>
      <c r="Y150" s="72" t="e">
        <f t="shared" si="20"/>
        <v>#REF!</v>
      </c>
      <c r="Z150" s="72" t="e">
        <f t="shared" si="20"/>
        <v>#REF!</v>
      </c>
      <c r="AA150" s="72" t="e">
        <f t="shared" si="20"/>
        <v>#REF!</v>
      </c>
      <c r="AB150" s="72"/>
      <c r="AC150" s="72"/>
      <c r="AD150" s="72"/>
      <c r="AE150" s="72"/>
      <c r="AF150" s="72"/>
      <c r="AI150" s="72" t="e">
        <f t="shared" ref="AI150:AI151" si="30">AVERAGE(C150:AH150)</f>
        <v>#REF!</v>
      </c>
    </row>
    <row r="151" spans="1:37" ht="15.75" thickBot="1" x14ac:dyDescent="0.3">
      <c r="B151" s="69" t="s">
        <v>122</v>
      </c>
      <c r="C151" s="78" t="e">
        <f t="shared" si="29"/>
        <v>#REF!</v>
      </c>
      <c r="D151" s="73" t="e">
        <f t="shared" si="20"/>
        <v>#REF!</v>
      </c>
      <c r="E151" s="73" t="e">
        <f t="shared" si="20"/>
        <v>#REF!</v>
      </c>
      <c r="F151" s="73" t="e">
        <f t="shared" si="20"/>
        <v>#REF!</v>
      </c>
      <c r="G151" s="73" t="e">
        <f t="shared" si="20"/>
        <v>#REF!</v>
      </c>
      <c r="H151" s="73" t="e">
        <f t="shared" si="20"/>
        <v>#REF!</v>
      </c>
      <c r="I151" s="73" t="e">
        <f t="shared" si="20"/>
        <v>#REF!</v>
      </c>
      <c r="J151" s="73" t="e">
        <f t="shared" si="20"/>
        <v>#REF!</v>
      </c>
      <c r="K151" s="73" t="e">
        <f t="shared" si="20"/>
        <v>#REF!</v>
      </c>
      <c r="L151" s="73" t="e">
        <f t="shared" si="20"/>
        <v>#REF!</v>
      </c>
      <c r="M151" s="73" t="e">
        <f t="shared" si="20"/>
        <v>#REF!</v>
      </c>
      <c r="N151" s="73" t="e">
        <f t="shared" si="20"/>
        <v>#REF!</v>
      </c>
      <c r="O151" s="73" t="e">
        <f t="shared" si="20"/>
        <v>#REF!</v>
      </c>
      <c r="P151" s="73" t="e">
        <f t="shared" si="20"/>
        <v>#REF!</v>
      </c>
      <c r="Q151" s="73" t="e">
        <f t="shared" si="20"/>
        <v>#REF!</v>
      </c>
      <c r="R151" s="73" t="e">
        <f t="shared" si="20"/>
        <v>#REF!</v>
      </c>
      <c r="S151" s="73" t="e">
        <f t="shared" si="20"/>
        <v>#REF!</v>
      </c>
      <c r="T151" s="73" t="e">
        <f t="shared" si="20"/>
        <v>#REF!</v>
      </c>
      <c r="U151" s="73" t="e">
        <f t="shared" si="20"/>
        <v>#REF!</v>
      </c>
      <c r="V151" s="73" t="e">
        <f t="shared" si="20"/>
        <v>#REF!</v>
      </c>
      <c r="W151" s="73" t="e">
        <f t="shared" si="20"/>
        <v>#REF!</v>
      </c>
      <c r="X151" s="73" t="e">
        <f t="shared" si="20"/>
        <v>#REF!</v>
      </c>
      <c r="Y151" s="73" t="e">
        <f t="shared" si="20"/>
        <v>#REF!</v>
      </c>
      <c r="Z151" s="73" t="e">
        <f t="shared" si="20"/>
        <v>#REF!</v>
      </c>
      <c r="AA151" s="73" t="e">
        <f t="shared" si="20"/>
        <v>#REF!</v>
      </c>
      <c r="AB151" s="73" t="e">
        <f t="shared" si="20"/>
        <v>#REF!</v>
      </c>
      <c r="AC151" s="73" t="e">
        <f t="shared" si="20"/>
        <v>#REF!</v>
      </c>
      <c r="AD151" s="73" t="e">
        <f t="shared" si="20"/>
        <v>#REF!</v>
      </c>
      <c r="AE151" s="73" t="e">
        <f t="shared" si="20"/>
        <v>#REF!</v>
      </c>
      <c r="AF151" s="73" t="e">
        <f t="shared" si="20"/>
        <v>#REF!</v>
      </c>
      <c r="AI151" s="72" t="e">
        <f t="shared" si="30"/>
        <v>#REF!</v>
      </c>
    </row>
    <row r="152" spans="1:37" x14ac:dyDescent="0.25">
      <c r="AF152" s="77" t="s">
        <v>292</v>
      </c>
    </row>
  </sheetData>
  <autoFilter ref="F2:H8">
    <sortState ref="F3:H8">
      <sortCondition ref="G2:G8"/>
    </sortState>
  </autoFilter>
  <phoneticPr fontId="13"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O326"/>
  <sheetViews>
    <sheetView workbookViewId="0"/>
  </sheetViews>
  <sheetFormatPr defaultRowHeight="15" x14ac:dyDescent="0.25"/>
  <cols>
    <col min="1" max="1" width="40.28515625" bestFit="1" customWidth="1"/>
    <col min="2" max="2" width="34" customWidth="1"/>
    <col min="3" max="3" width="25.85546875" bestFit="1" customWidth="1"/>
    <col min="4" max="4" width="31.28515625" customWidth="1"/>
    <col min="5" max="5" width="31.5703125" style="33" customWidth="1"/>
    <col min="6" max="6" width="36.85546875" customWidth="1"/>
    <col min="7" max="8" width="40.28515625" customWidth="1"/>
    <col min="9" max="9" width="27.28515625" bestFit="1" customWidth="1"/>
    <col min="10" max="10" width="31.140625" bestFit="1" customWidth="1"/>
    <col min="11" max="11" width="31.85546875" bestFit="1" customWidth="1"/>
    <col min="12" max="12" width="27.5703125" bestFit="1" customWidth="1"/>
    <col min="13" max="13" width="23.42578125" customWidth="1"/>
    <col min="14" max="14" width="20.42578125" customWidth="1"/>
    <col min="15" max="15" width="19.28515625" customWidth="1"/>
    <col min="16" max="16" width="17.85546875" customWidth="1"/>
    <col min="18" max="18" width="14.28515625" bestFit="1" customWidth="1"/>
    <col min="19" max="19" width="22.42578125" customWidth="1"/>
    <col min="20" max="20" width="8" customWidth="1"/>
    <col min="21" max="21" width="20.5703125" customWidth="1"/>
  </cols>
  <sheetData>
    <row r="3" spans="1:6" x14ac:dyDescent="0.25">
      <c r="A3" s="20" t="s">
        <v>272</v>
      </c>
      <c r="B3" t="s">
        <v>273</v>
      </c>
      <c r="C3" t="s">
        <v>274</v>
      </c>
      <c r="D3" t="s">
        <v>277</v>
      </c>
    </row>
    <row r="4" spans="1:6" x14ac:dyDescent="0.25">
      <c r="A4" s="54" t="s">
        <v>127</v>
      </c>
      <c r="B4" s="55">
        <v>26618</v>
      </c>
      <c r="C4" s="55">
        <v>50575</v>
      </c>
      <c r="D4" s="56">
        <v>1</v>
      </c>
      <c r="E4" s="57"/>
      <c r="F4" s="58"/>
    </row>
    <row r="5" spans="1:6" x14ac:dyDescent="0.25">
      <c r="A5" s="54" t="s">
        <v>128</v>
      </c>
      <c r="B5" s="55">
        <v>26618</v>
      </c>
      <c r="C5" s="55">
        <v>50575</v>
      </c>
      <c r="D5" s="56">
        <v>1</v>
      </c>
      <c r="E5" s="57"/>
      <c r="F5" s="58"/>
    </row>
    <row r="6" spans="1:6" x14ac:dyDescent="0.25">
      <c r="A6" s="54" t="s">
        <v>129</v>
      </c>
      <c r="B6" s="55">
        <v>29279</v>
      </c>
      <c r="C6" s="55">
        <v>54167</v>
      </c>
      <c r="D6" s="56">
        <v>4</v>
      </c>
      <c r="E6" s="57"/>
      <c r="F6" s="58"/>
    </row>
    <row r="7" spans="1:6" x14ac:dyDescent="0.25">
      <c r="A7" s="54" t="s">
        <v>130</v>
      </c>
      <c r="B7" s="55">
        <v>32208</v>
      </c>
      <c r="C7" s="55">
        <v>57974</v>
      </c>
      <c r="D7" s="56">
        <v>1</v>
      </c>
      <c r="E7" s="57"/>
      <c r="F7" s="58"/>
    </row>
    <row r="8" spans="1:6" x14ac:dyDescent="0.25">
      <c r="A8" s="54" t="s">
        <v>133</v>
      </c>
      <c r="B8" s="55">
        <v>29279</v>
      </c>
      <c r="C8" s="55">
        <v>54167</v>
      </c>
      <c r="D8" s="56">
        <v>8</v>
      </c>
      <c r="E8" s="57"/>
      <c r="F8" s="58"/>
    </row>
    <row r="9" spans="1:6" x14ac:dyDescent="0.25">
      <c r="A9" s="21" t="s">
        <v>134</v>
      </c>
      <c r="B9" s="1">
        <v>32208</v>
      </c>
      <c r="C9" s="1">
        <v>57974</v>
      </c>
      <c r="D9" s="22">
        <v>1</v>
      </c>
      <c r="E9" s="34"/>
    </row>
    <row r="10" spans="1:6" x14ac:dyDescent="0.25">
      <c r="A10" s="21" t="s">
        <v>135</v>
      </c>
      <c r="B10" s="1">
        <v>35429</v>
      </c>
      <c r="C10" s="1">
        <v>62000</v>
      </c>
      <c r="D10" s="22">
        <v>1</v>
      </c>
      <c r="E10" s="34"/>
    </row>
    <row r="11" spans="1:6" x14ac:dyDescent="0.25">
      <c r="A11" s="21" t="s">
        <v>68</v>
      </c>
      <c r="B11" s="1">
        <v>27037</v>
      </c>
      <c r="C11" s="1">
        <v>52681</v>
      </c>
      <c r="D11" s="22">
        <v>1</v>
      </c>
      <c r="E11" s="34"/>
    </row>
    <row r="12" spans="1:6" x14ac:dyDescent="0.25">
      <c r="A12" s="21" t="s">
        <v>55</v>
      </c>
      <c r="B12" s="1">
        <v>23000</v>
      </c>
      <c r="C12" s="1">
        <v>44428</v>
      </c>
      <c r="D12" s="22">
        <v>26</v>
      </c>
      <c r="E12" s="34"/>
    </row>
    <row r="13" spans="1:6" x14ac:dyDescent="0.25">
      <c r="A13" s="21" t="s">
        <v>88</v>
      </c>
      <c r="B13" s="1">
        <v>24500</v>
      </c>
      <c r="C13" s="1">
        <v>45928</v>
      </c>
      <c r="D13" s="22">
        <v>10</v>
      </c>
      <c r="E13" s="34"/>
    </row>
    <row r="14" spans="1:6" x14ac:dyDescent="0.25">
      <c r="A14" s="21" t="s">
        <v>138</v>
      </c>
      <c r="B14" s="1">
        <v>41910</v>
      </c>
      <c r="C14" s="1">
        <v>60807</v>
      </c>
      <c r="D14" s="22">
        <v>1</v>
      </c>
      <c r="E14" s="34"/>
    </row>
    <row r="15" spans="1:6" x14ac:dyDescent="0.25">
      <c r="A15" s="21" t="s">
        <v>141</v>
      </c>
      <c r="B15" s="1">
        <v>32208</v>
      </c>
      <c r="C15" s="1">
        <v>57974</v>
      </c>
      <c r="D15" s="22">
        <v>6</v>
      </c>
      <c r="E15" s="34"/>
    </row>
    <row r="16" spans="1:6" x14ac:dyDescent="0.25">
      <c r="A16" s="21" t="s">
        <v>142</v>
      </c>
      <c r="B16" s="1">
        <v>35429</v>
      </c>
      <c r="C16" s="1">
        <v>62000</v>
      </c>
      <c r="D16" s="22">
        <v>1</v>
      </c>
      <c r="E16" s="34"/>
    </row>
    <row r="17" spans="1:5" x14ac:dyDescent="0.25">
      <c r="A17" s="21" t="s">
        <v>143</v>
      </c>
      <c r="B17" s="1">
        <v>35429</v>
      </c>
      <c r="C17" s="1">
        <v>62000</v>
      </c>
      <c r="D17" s="22">
        <v>1</v>
      </c>
      <c r="E17" s="34"/>
    </row>
    <row r="18" spans="1:5" x14ac:dyDescent="0.25">
      <c r="A18" s="21" t="s">
        <v>56</v>
      </c>
      <c r="B18" s="1">
        <v>30655</v>
      </c>
      <c r="C18" s="1">
        <v>41488</v>
      </c>
      <c r="D18" s="22">
        <v>2</v>
      </c>
      <c r="E18" s="34"/>
    </row>
    <row r="19" spans="1:5" x14ac:dyDescent="0.25">
      <c r="A19" s="21" t="s">
        <v>146</v>
      </c>
      <c r="B19" s="1">
        <v>26618</v>
      </c>
      <c r="C19" s="1">
        <v>50575</v>
      </c>
      <c r="D19" s="22">
        <v>1</v>
      </c>
      <c r="E19" s="34"/>
    </row>
    <row r="20" spans="1:5" x14ac:dyDescent="0.25">
      <c r="A20" s="21" t="s">
        <v>147</v>
      </c>
      <c r="B20" s="1">
        <v>29279</v>
      </c>
      <c r="C20" s="1">
        <v>54167</v>
      </c>
      <c r="D20" s="22">
        <v>2</v>
      </c>
      <c r="E20" s="34"/>
    </row>
    <row r="21" spans="1:5" x14ac:dyDescent="0.25">
      <c r="A21" s="21" t="s">
        <v>148</v>
      </c>
      <c r="B21" s="1">
        <v>41910</v>
      </c>
      <c r="C21" s="1">
        <v>60807</v>
      </c>
      <c r="D21" s="22">
        <v>2</v>
      </c>
      <c r="E21" s="34"/>
    </row>
    <row r="22" spans="1:5" x14ac:dyDescent="0.25">
      <c r="A22" s="21" t="s">
        <v>15</v>
      </c>
      <c r="B22" s="1">
        <v>29279</v>
      </c>
      <c r="C22" s="1">
        <v>54167</v>
      </c>
      <c r="D22" s="22">
        <v>1</v>
      </c>
      <c r="E22" s="34"/>
    </row>
    <row r="23" spans="1:5" x14ac:dyDescent="0.25">
      <c r="A23" s="21" t="s">
        <v>119</v>
      </c>
      <c r="B23" s="1">
        <v>27037</v>
      </c>
      <c r="C23" s="1">
        <v>52681</v>
      </c>
      <c r="D23" s="22">
        <v>3</v>
      </c>
      <c r="E23" s="34"/>
    </row>
    <row r="24" spans="1:5" x14ac:dyDescent="0.25">
      <c r="A24" s="21" t="s">
        <v>223</v>
      </c>
      <c r="B24" s="1" t="e">
        <v>#DIV/0!</v>
      </c>
      <c r="C24" s="1" t="e">
        <v>#DIV/0!</v>
      </c>
      <c r="D24" s="22">
        <v>14</v>
      </c>
      <c r="E24" s="34"/>
    </row>
    <row r="25" spans="1:5" x14ac:dyDescent="0.25">
      <c r="A25" s="21" t="s">
        <v>151</v>
      </c>
      <c r="B25" s="1">
        <v>35429</v>
      </c>
      <c r="C25" s="1">
        <v>62000</v>
      </c>
      <c r="D25" s="22">
        <v>1</v>
      </c>
      <c r="E25" s="34"/>
    </row>
    <row r="26" spans="1:5" x14ac:dyDescent="0.25">
      <c r="A26" s="21" t="s">
        <v>95</v>
      </c>
      <c r="B26" s="1">
        <v>35429</v>
      </c>
      <c r="C26" s="1">
        <v>62000</v>
      </c>
      <c r="D26" s="22">
        <v>1</v>
      </c>
      <c r="E26" s="34"/>
    </row>
    <row r="27" spans="1:5" x14ac:dyDescent="0.25">
      <c r="A27" s="21" t="s">
        <v>153</v>
      </c>
      <c r="B27" s="1">
        <v>26618</v>
      </c>
      <c r="C27" s="1">
        <v>50575</v>
      </c>
      <c r="D27" s="22">
        <v>1</v>
      </c>
      <c r="E27" s="34"/>
    </row>
    <row r="28" spans="1:5" x14ac:dyDescent="0.25">
      <c r="A28" s="21" t="s">
        <v>154</v>
      </c>
      <c r="B28" s="1">
        <v>30655</v>
      </c>
      <c r="C28" s="1">
        <v>41488</v>
      </c>
      <c r="D28" s="22">
        <v>1</v>
      </c>
      <c r="E28" s="34"/>
    </row>
    <row r="29" spans="1:5" x14ac:dyDescent="0.25">
      <c r="A29" s="21" t="s">
        <v>60</v>
      </c>
      <c r="B29" s="1">
        <v>48500</v>
      </c>
      <c r="C29" s="1">
        <v>65338</v>
      </c>
      <c r="D29" s="22">
        <v>9</v>
      </c>
      <c r="E29" s="34"/>
    </row>
    <row r="30" spans="1:5" x14ac:dyDescent="0.25">
      <c r="A30" s="21" t="s">
        <v>155</v>
      </c>
      <c r="B30" s="1">
        <v>11652</v>
      </c>
      <c r="C30" s="1">
        <v>18043</v>
      </c>
      <c r="D30" s="22">
        <v>46</v>
      </c>
      <c r="E30" s="34"/>
    </row>
    <row r="31" spans="1:5" x14ac:dyDescent="0.25">
      <c r="A31" s="21" t="s">
        <v>156</v>
      </c>
      <c r="B31" s="1">
        <v>18939</v>
      </c>
      <c r="C31" s="1">
        <v>30436</v>
      </c>
      <c r="D31" s="22">
        <v>6</v>
      </c>
      <c r="E31" s="34"/>
    </row>
    <row r="32" spans="1:5" x14ac:dyDescent="0.25">
      <c r="A32" s="21" t="s">
        <v>158</v>
      </c>
      <c r="B32" s="1">
        <v>26502</v>
      </c>
      <c r="C32" s="1">
        <v>41666</v>
      </c>
      <c r="D32" s="22">
        <v>2</v>
      </c>
      <c r="E32" s="34"/>
    </row>
    <row r="33" spans="1:18" x14ac:dyDescent="0.25">
      <c r="A33" s="21" t="s">
        <v>157</v>
      </c>
      <c r="B33" s="1">
        <v>21434</v>
      </c>
      <c r="C33" s="1">
        <v>32810</v>
      </c>
      <c r="D33" s="22">
        <v>1</v>
      </c>
      <c r="E33" s="34"/>
    </row>
    <row r="34" spans="1:18" x14ac:dyDescent="0.25">
      <c r="A34" s="21" t="s">
        <v>159</v>
      </c>
      <c r="B34" s="1">
        <v>24198</v>
      </c>
      <c r="C34" s="1">
        <v>48396</v>
      </c>
      <c r="D34" s="22">
        <v>1</v>
      </c>
      <c r="E34" s="34"/>
    </row>
    <row r="35" spans="1:18" x14ac:dyDescent="0.25">
      <c r="A35" s="21" t="s">
        <v>160</v>
      </c>
      <c r="B35" s="1">
        <v>24198</v>
      </c>
      <c r="C35" s="1">
        <v>48396</v>
      </c>
      <c r="D35" s="22">
        <v>17</v>
      </c>
      <c r="E35" s="34"/>
    </row>
    <row r="36" spans="1:18" x14ac:dyDescent="0.25">
      <c r="A36" s="21" t="s">
        <v>161</v>
      </c>
      <c r="B36" s="1">
        <v>26618</v>
      </c>
      <c r="C36" s="1">
        <v>50575</v>
      </c>
      <c r="D36" s="22">
        <v>4</v>
      </c>
      <c r="E36" s="34"/>
    </row>
    <row r="37" spans="1:18" x14ac:dyDescent="0.25">
      <c r="A37" s="21" t="s">
        <v>14</v>
      </c>
      <c r="B37" s="1">
        <v>17692</v>
      </c>
      <c r="C37" s="1">
        <v>32523</v>
      </c>
      <c r="D37" s="22">
        <v>94</v>
      </c>
      <c r="E37" s="34"/>
    </row>
    <row r="38" spans="1:18" x14ac:dyDescent="0.25">
      <c r="A38" s="21" t="s">
        <v>71</v>
      </c>
      <c r="B38" s="1">
        <v>22017</v>
      </c>
      <c r="C38" s="1">
        <v>36886</v>
      </c>
      <c r="D38" s="22">
        <v>6</v>
      </c>
      <c r="E38" s="34"/>
    </row>
    <row r="39" spans="1:18" x14ac:dyDescent="0.25">
      <c r="A39" s="21" t="s">
        <v>162</v>
      </c>
      <c r="B39" s="1">
        <v>42007</v>
      </c>
      <c r="C39" s="1">
        <v>67026</v>
      </c>
      <c r="D39" s="22">
        <v>9</v>
      </c>
      <c r="E39" s="34"/>
    </row>
    <row r="40" spans="1:18" x14ac:dyDescent="0.25">
      <c r="A40" s="21" t="s">
        <v>49</v>
      </c>
      <c r="B40" s="1">
        <v>24198</v>
      </c>
      <c r="C40" s="1">
        <v>48396</v>
      </c>
      <c r="D40" s="22">
        <v>1</v>
      </c>
      <c r="E40" s="34"/>
    </row>
    <row r="41" spans="1:18" x14ac:dyDescent="0.25">
      <c r="A41" s="21" t="s">
        <v>118</v>
      </c>
      <c r="B41" s="1">
        <v>30655</v>
      </c>
      <c r="C41" s="1">
        <v>41488</v>
      </c>
      <c r="D41" s="22">
        <v>2</v>
      </c>
      <c r="E41" s="34"/>
    </row>
    <row r="42" spans="1:18" x14ac:dyDescent="0.25">
      <c r="A42" s="21" t="s">
        <v>271</v>
      </c>
      <c r="B42" s="1">
        <v>22139.963768115944</v>
      </c>
      <c r="C42" s="1">
        <v>38854.72463768116</v>
      </c>
      <c r="D42" s="22">
        <v>290</v>
      </c>
      <c r="E42" s="34"/>
    </row>
    <row r="43" spans="1:18" x14ac:dyDescent="0.25">
      <c r="A43" s="21"/>
      <c r="B43" s="1"/>
      <c r="C43" s="1"/>
      <c r="D43" s="22"/>
      <c r="E43" s="34"/>
      <c r="R43" s="1"/>
    </row>
    <row r="44" spans="1:18" x14ac:dyDescent="0.25">
      <c r="A44" s="34"/>
      <c r="E44"/>
    </row>
    <row r="45" spans="1:18" x14ac:dyDescent="0.25">
      <c r="E45"/>
    </row>
    <row r="46" spans="1:18" ht="15.75" thickBot="1" x14ac:dyDescent="0.3">
      <c r="B46" s="33"/>
      <c r="E46"/>
    </row>
    <row r="47" spans="1:18" x14ac:dyDescent="0.25">
      <c r="A47" s="95" t="s">
        <v>276</v>
      </c>
      <c r="B47" s="95" t="s">
        <v>279</v>
      </c>
      <c r="C47" s="95" t="s">
        <v>287</v>
      </c>
      <c r="D47" s="96" t="s">
        <v>273</v>
      </c>
      <c r="E47" s="96" t="s">
        <v>281</v>
      </c>
      <c r="F47" s="96" t="s">
        <v>282</v>
      </c>
      <c r="G47" s="96"/>
      <c r="H47" s="96" t="s">
        <v>274</v>
      </c>
      <c r="I47" s="96" t="s">
        <v>280</v>
      </c>
      <c r="J47" s="96" t="s">
        <v>283</v>
      </c>
      <c r="L47" s="53" t="s">
        <v>324</v>
      </c>
      <c r="M47" s="53" t="s">
        <v>316</v>
      </c>
      <c r="O47" s="53" t="s">
        <v>317</v>
      </c>
    </row>
    <row r="48" spans="1:18" x14ac:dyDescent="0.25">
      <c r="A48" s="2" t="s">
        <v>99</v>
      </c>
      <c r="B48" s="2" t="s">
        <v>127</v>
      </c>
      <c r="C48" s="3" t="e">
        <f>AVERAGEIF(#REF!,A48,#REF!)</f>
        <v>#REF!</v>
      </c>
      <c r="D48" s="4">
        <v>26618</v>
      </c>
      <c r="E48" s="4" t="str">
        <f>IFERROR(INDEX('Market Results'!B:$B,MATCH(A48,'Market Results'!$A:A,0)),"-")</f>
        <v>-</v>
      </c>
      <c r="F48" s="43" t="s">
        <v>284</v>
      </c>
      <c r="G48" s="43"/>
      <c r="H48" s="4">
        <v>50575</v>
      </c>
      <c r="I48" s="4" t="str">
        <f>IFERROR(INDEX('Market Results'!F:$F,MATCH(A48,'Market Results'!$A:A,0)),"-")</f>
        <v>-</v>
      </c>
      <c r="J48" s="44" t="s">
        <v>284</v>
      </c>
      <c r="L48" s="98">
        <f>IFERROR((H48-D48)/D48,"-")</f>
        <v>0.90003005485010146</v>
      </c>
      <c r="M48" s="110">
        <f>(D49-D48)/D48</f>
        <v>0</v>
      </c>
      <c r="O48" s="81" t="str">
        <f>IFERROR((H48-C48)/C48,"-")</f>
        <v>-</v>
      </c>
    </row>
    <row r="49" spans="1:15" x14ac:dyDescent="0.25">
      <c r="A49" s="2" t="s">
        <v>227</v>
      </c>
      <c r="B49" s="2" t="s">
        <v>128</v>
      </c>
      <c r="C49" s="3" t="e">
        <f>AVERAGEIF(#REF!,A49,#REF!)</f>
        <v>#REF!</v>
      </c>
      <c r="D49" s="4">
        <v>26618</v>
      </c>
      <c r="E49" s="4" t="str">
        <f>IFERROR(INDEX('Market Results'!B:$B,MATCH(A49,'Market Results'!$A:A,0)),"-")</f>
        <v>-</v>
      </c>
      <c r="F49" s="43" t="s">
        <v>284</v>
      </c>
      <c r="G49" s="43"/>
      <c r="H49" s="4">
        <v>50575</v>
      </c>
      <c r="I49" s="4" t="str">
        <f>IFERROR(INDEX('Market Results'!F:$F,MATCH(A49,'Market Results'!$A:A,0)),"-")</f>
        <v>-</v>
      </c>
      <c r="J49" s="44" t="s">
        <v>284</v>
      </c>
      <c r="L49" s="98">
        <f t="shared" ref="L49:L101" si="0">IFERROR((H49-D49)/D49,"-")</f>
        <v>0.90003005485010146</v>
      </c>
      <c r="M49" s="110"/>
      <c r="O49" s="81" t="str">
        <f t="shared" ref="O49:O109" si="1">IFERROR((H49-C49)/C49,"-")</f>
        <v>-</v>
      </c>
    </row>
    <row r="50" spans="1:15" x14ac:dyDescent="0.25">
      <c r="A50" s="2" t="s">
        <v>38</v>
      </c>
      <c r="B50" s="2" t="s">
        <v>133</v>
      </c>
      <c r="C50" s="3" t="e">
        <f>AVERAGEIF(#REF!,A50,#REF!)</f>
        <v>#REF!</v>
      </c>
      <c r="D50" s="4">
        <v>29279</v>
      </c>
      <c r="E50" s="4" t="str">
        <f>IFERROR(INDEX('Market Results'!B:$B,MATCH(A50,'Market Results'!$A:A,0)),"-")</f>
        <v>-</v>
      </c>
      <c r="F50" s="43" t="s">
        <v>284</v>
      </c>
      <c r="G50" s="43"/>
      <c r="H50" s="4">
        <v>54167</v>
      </c>
      <c r="I50" s="4" t="str">
        <f>IFERROR(INDEX('Market Results'!F:$F,MATCH(A50,'Market Results'!$A:A,0)),"-")</f>
        <v>-</v>
      </c>
      <c r="J50" s="44" t="s">
        <v>284</v>
      </c>
      <c r="L50" s="98">
        <f t="shared" si="0"/>
        <v>0.85002903104614225</v>
      </c>
      <c r="M50" s="110"/>
      <c r="O50" s="81" t="str">
        <f t="shared" si="1"/>
        <v>-</v>
      </c>
    </row>
    <row r="51" spans="1:15" x14ac:dyDescent="0.25">
      <c r="A51" s="2" t="s">
        <v>68</v>
      </c>
      <c r="B51" s="2" t="s">
        <v>68</v>
      </c>
      <c r="C51" s="3" t="e">
        <f>AVERAGEIF(#REF!,A51,#REF!)</f>
        <v>#REF!</v>
      </c>
      <c r="D51" s="4">
        <v>27037</v>
      </c>
      <c r="E51" s="4" t="str">
        <f>IFERROR(INDEX('Market Results'!B:$B,MATCH(A51,'Market Results'!$A:A,0)),"-")</f>
        <v>-</v>
      </c>
      <c r="F51" s="43" t="s">
        <v>284</v>
      </c>
      <c r="G51" s="43"/>
      <c r="H51" s="4">
        <v>52681</v>
      </c>
      <c r="I51" s="4" t="str">
        <f>IFERROR(INDEX('Market Results'!F:$F,MATCH(A51,'Market Results'!$A:A,0)),"-")</f>
        <v>-</v>
      </c>
      <c r="J51" s="44" t="s">
        <v>284</v>
      </c>
      <c r="L51" s="98">
        <f t="shared" si="0"/>
        <v>0.94847801161371459</v>
      </c>
      <c r="M51" s="110"/>
      <c r="O51" s="81" t="str">
        <f t="shared" si="1"/>
        <v>-</v>
      </c>
    </row>
    <row r="52" spans="1:15" x14ac:dyDescent="0.25">
      <c r="A52" s="2" t="s">
        <v>55</v>
      </c>
      <c r="B52" s="2" t="s">
        <v>55</v>
      </c>
      <c r="C52" s="3" t="e">
        <f>AVERAGEIF(#REF!,A52,#REF!)</f>
        <v>#REF!</v>
      </c>
      <c r="D52" s="4">
        <v>23000</v>
      </c>
      <c r="E52" s="4">
        <f>IFERROR(INDEX('Market Results'!B:$B,MATCH(A52,'Market Results'!$A:A,0)),"-")</f>
        <v>24675.599805247355</v>
      </c>
      <c r="F52" s="43">
        <v>-7.2852165445537173E-2</v>
      </c>
      <c r="G52" s="43"/>
      <c r="H52" s="4">
        <v>44428</v>
      </c>
      <c r="I52" s="4">
        <f>IFERROR(INDEX('Market Results'!F:$F,MATCH(A52,'Market Results'!$A:A,0)),"-")</f>
        <v>40763.242516063976</v>
      </c>
      <c r="J52" s="44">
        <v>8.2487563787161794E-2</v>
      </c>
      <c r="L52" s="98">
        <f t="shared" si="0"/>
        <v>0.93165217391304345</v>
      </c>
      <c r="M52" s="110"/>
      <c r="O52" s="81" t="str">
        <f t="shared" si="1"/>
        <v>-</v>
      </c>
    </row>
    <row r="53" spans="1:15" x14ac:dyDescent="0.25">
      <c r="A53" s="2" t="s">
        <v>318</v>
      </c>
      <c r="B53" s="2" t="s">
        <v>88</v>
      </c>
      <c r="C53" s="3" t="e">
        <f>AVERAGEIF(#REF!,B53,#REF!)</f>
        <v>#REF!</v>
      </c>
      <c r="D53" s="4">
        <v>22017</v>
      </c>
      <c r="E53" s="4"/>
      <c r="F53" s="43"/>
      <c r="G53" s="43"/>
      <c r="H53" s="4">
        <v>45928</v>
      </c>
      <c r="I53" s="4"/>
      <c r="J53" s="44"/>
      <c r="L53" s="98">
        <f t="shared" si="0"/>
        <v>1.0860244356633511</v>
      </c>
      <c r="M53" s="110"/>
      <c r="O53" s="81" t="str">
        <f t="shared" si="1"/>
        <v>-</v>
      </c>
    </row>
    <row r="54" spans="1:15" x14ac:dyDescent="0.25">
      <c r="A54" s="2" t="s">
        <v>88</v>
      </c>
      <c r="B54" s="2" t="s">
        <v>88</v>
      </c>
      <c r="C54" s="3" t="e">
        <f>AVERAGEIF(#REF!,A54,#REF!)</f>
        <v>#REF!</v>
      </c>
      <c r="D54" s="4">
        <v>24500</v>
      </c>
      <c r="E54" s="4">
        <f>IFERROR(INDEX('Market Results'!B:$B,MATCH(A54,'Market Results'!$A:A,0)),"-")</f>
        <v>29747.168731679481</v>
      </c>
      <c r="F54" s="43">
        <f>(D54-E54)/D54</f>
        <v>-0.21417015231344821</v>
      </c>
      <c r="G54" s="43"/>
      <c r="H54" s="4">
        <v>45928</v>
      </c>
      <c r="I54" s="4">
        <f>IFERROR(INDEX('Market Results'!F:$F,MATCH(A54,'Market Results'!$A:A,0)),"-")</f>
        <v>49830.19136404145</v>
      </c>
      <c r="J54" s="44">
        <v>-8.4963232974252081E-2</v>
      </c>
      <c r="L54" s="98">
        <f t="shared" si="0"/>
        <v>0.87461224489795919</v>
      </c>
      <c r="M54" s="110"/>
      <c r="O54" s="81" t="str">
        <f t="shared" si="1"/>
        <v>-</v>
      </c>
    </row>
    <row r="55" spans="1:15" x14ac:dyDescent="0.25">
      <c r="A55" s="2" t="s">
        <v>228</v>
      </c>
      <c r="B55" s="2" t="s">
        <v>138</v>
      </c>
      <c r="C55" s="3" t="e">
        <f>AVERAGEIF(#REF!,A55,#REF!)</f>
        <v>#REF!</v>
      </c>
      <c r="D55" s="4">
        <v>41910</v>
      </c>
      <c r="E55" s="4" t="str">
        <f>IFERROR(INDEX('Market Results'!B:$B,MATCH(A55,'Market Results'!$A:A,0)),"-")</f>
        <v>-</v>
      </c>
      <c r="F55" s="43" t="s">
        <v>284</v>
      </c>
      <c r="G55" s="43"/>
      <c r="H55" s="4">
        <v>60807</v>
      </c>
      <c r="I55" s="4" t="str">
        <f>IFERROR(INDEX('Market Results'!F:$F,MATCH(A55,'Market Results'!$A:A,0)),"-")</f>
        <v>-</v>
      </c>
      <c r="J55" s="44" t="s">
        <v>284</v>
      </c>
      <c r="L55" s="98">
        <f t="shared" si="0"/>
        <v>0.45089477451682175</v>
      </c>
      <c r="M55" s="110"/>
      <c r="O55" s="81" t="str">
        <f t="shared" si="1"/>
        <v>-</v>
      </c>
    </row>
    <row r="56" spans="1:15" x14ac:dyDescent="0.25">
      <c r="A56" s="2" t="s">
        <v>235</v>
      </c>
      <c r="B56" s="2" t="s">
        <v>141</v>
      </c>
      <c r="C56" s="3" t="e">
        <f>AVERAGEIF(#REF!,A56,#REF!)</f>
        <v>#REF!</v>
      </c>
      <c r="D56" s="4">
        <v>32208</v>
      </c>
      <c r="E56" s="4" t="str">
        <f>IFERROR(INDEX('Market Results'!B:$B,MATCH(A56,'Market Results'!$A:A,0)),"-")</f>
        <v>-</v>
      </c>
      <c r="F56" s="43" t="s">
        <v>284</v>
      </c>
      <c r="G56" s="43"/>
      <c r="H56" s="4">
        <v>57974</v>
      </c>
      <c r="I56" s="4" t="str">
        <f>IFERROR(INDEX('Market Results'!F:$F,MATCH(A56,'Market Results'!$A:A,0)),"-")</f>
        <v>-</v>
      </c>
      <c r="J56" s="44" t="s">
        <v>284</v>
      </c>
      <c r="L56" s="98">
        <f t="shared" si="0"/>
        <v>0.79998758072528564</v>
      </c>
      <c r="M56" s="110"/>
      <c r="O56" s="81" t="str">
        <f t="shared" si="1"/>
        <v>-</v>
      </c>
    </row>
    <row r="57" spans="1:15" x14ac:dyDescent="0.25">
      <c r="A57" s="2" t="s">
        <v>246</v>
      </c>
      <c r="B57" s="2" t="s">
        <v>141</v>
      </c>
      <c r="C57" s="3" t="e">
        <f>AVERAGEIF(#REF!,A57,#REF!)</f>
        <v>#REF!</v>
      </c>
      <c r="D57" s="4">
        <v>32208</v>
      </c>
      <c r="E57" s="4" t="str">
        <f>IFERROR(INDEX('Market Results'!B:$B,MATCH(A57,'Market Results'!$A:A,0)),"-")</f>
        <v>-</v>
      </c>
      <c r="F57" s="43" t="s">
        <v>284</v>
      </c>
      <c r="G57" s="43"/>
      <c r="H57" s="4">
        <v>57974</v>
      </c>
      <c r="I57" s="4" t="str">
        <f>IFERROR(INDEX('Market Results'!F:$F,MATCH(A57,'Market Results'!$A:A,0)),"-")</f>
        <v>-</v>
      </c>
      <c r="J57" s="44" t="s">
        <v>284</v>
      </c>
      <c r="L57" s="98">
        <f t="shared" si="0"/>
        <v>0.79998758072528564</v>
      </c>
      <c r="M57" s="110"/>
      <c r="O57" s="81" t="str">
        <f t="shared" si="1"/>
        <v>-</v>
      </c>
    </row>
    <row r="58" spans="1:15" x14ac:dyDescent="0.25">
      <c r="A58" s="2" t="s">
        <v>33</v>
      </c>
      <c r="B58" s="2" t="s">
        <v>141</v>
      </c>
      <c r="C58" s="3" t="e">
        <f>AVERAGEIF(#REF!,A58,#REF!)</f>
        <v>#REF!</v>
      </c>
      <c r="D58" s="4">
        <v>32208</v>
      </c>
      <c r="E58" s="4" t="str">
        <f>IFERROR(INDEX('Market Results'!B:$B,MATCH(A58,'Market Results'!$A:A,0)),"-")</f>
        <v>-</v>
      </c>
      <c r="F58" s="43" t="s">
        <v>284</v>
      </c>
      <c r="G58" s="43"/>
      <c r="H58" s="4">
        <v>57974</v>
      </c>
      <c r="I58" s="4" t="str">
        <f>IFERROR(INDEX('Market Results'!F:$F,MATCH(A58,'Market Results'!$A:A,0)),"-")</f>
        <v>-</v>
      </c>
      <c r="J58" s="44" t="s">
        <v>284</v>
      </c>
      <c r="L58" s="98">
        <f t="shared" si="0"/>
        <v>0.79998758072528564</v>
      </c>
      <c r="M58" s="110"/>
      <c r="O58" s="81" t="str">
        <f t="shared" si="1"/>
        <v>-</v>
      </c>
    </row>
    <row r="59" spans="1:15" x14ac:dyDescent="0.25">
      <c r="A59" s="2" t="s">
        <v>248</v>
      </c>
      <c r="B59" s="2" t="s">
        <v>141</v>
      </c>
      <c r="C59" s="3" t="e">
        <f>AVERAGEIF(#REF!,A59,#REF!)</f>
        <v>#REF!</v>
      </c>
      <c r="D59" s="4">
        <v>32208</v>
      </c>
      <c r="E59" s="4" t="str">
        <f>IFERROR(INDEX('Market Results'!B:$B,MATCH(A59,'Market Results'!$A:A,0)),"-")</f>
        <v>-</v>
      </c>
      <c r="F59" s="43" t="s">
        <v>284</v>
      </c>
      <c r="G59" s="43"/>
      <c r="H59" s="4">
        <v>57974</v>
      </c>
      <c r="I59" s="4" t="str">
        <f>IFERROR(INDEX('Market Results'!F:$F,MATCH(A59,'Market Results'!$A:A,0)),"-")</f>
        <v>-</v>
      </c>
      <c r="J59" s="44" t="s">
        <v>284</v>
      </c>
      <c r="L59" s="98">
        <f t="shared" si="0"/>
        <v>0.79998758072528564</v>
      </c>
      <c r="M59" s="110"/>
      <c r="O59" s="81" t="str">
        <f t="shared" si="1"/>
        <v>-</v>
      </c>
    </row>
    <row r="60" spans="1:15" x14ac:dyDescent="0.25">
      <c r="A60" s="2" t="s">
        <v>243</v>
      </c>
      <c r="B60" s="2" t="s">
        <v>142</v>
      </c>
      <c r="C60" s="3" t="e">
        <f>AVERAGEIF(#REF!,A60,#REF!)</f>
        <v>#REF!</v>
      </c>
      <c r="D60" s="4">
        <v>35429</v>
      </c>
      <c r="E60" s="4" t="str">
        <f>IFERROR(INDEX('Market Results'!B:$B,MATCH(A60,'Market Results'!$A:A,0)),"-")</f>
        <v>-</v>
      </c>
      <c r="F60" s="43" t="s">
        <v>284</v>
      </c>
      <c r="G60" s="43"/>
      <c r="H60" s="4">
        <v>62000</v>
      </c>
      <c r="I60" s="4" t="str">
        <f>IFERROR(INDEX('Market Results'!F:$F,MATCH(A60,'Market Results'!$A:A,0)),"-")</f>
        <v>-</v>
      </c>
      <c r="J60" s="44" t="s">
        <v>284</v>
      </c>
      <c r="L60" s="98">
        <f t="shared" si="0"/>
        <v>0.74997883090123907</v>
      </c>
      <c r="M60" s="110"/>
      <c r="O60" s="81" t="str">
        <f t="shared" si="1"/>
        <v>-</v>
      </c>
    </row>
    <row r="61" spans="1:15" x14ac:dyDescent="0.25">
      <c r="A61" s="2" t="s">
        <v>82</v>
      </c>
      <c r="B61" s="2" t="s">
        <v>143</v>
      </c>
      <c r="C61" s="3" t="e">
        <f>AVERAGEIF(#REF!,A61,#REF!)</f>
        <v>#REF!</v>
      </c>
      <c r="D61" s="4">
        <v>35429</v>
      </c>
      <c r="E61" s="4" t="str">
        <f>IFERROR(INDEX('Market Results'!B:$B,MATCH(A61,'Market Results'!$A:A,0)),"-")</f>
        <v>-</v>
      </c>
      <c r="F61" s="43" t="s">
        <v>284</v>
      </c>
      <c r="G61" s="43"/>
      <c r="H61" s="4">
        <v>62000</v>
      </c>
      <c r="I61" s="4" t="str">
        <f>IFERROR(INDEX('Market Results'!F:$F,MATCH(A61,'Market Results'!$A:A,0)),"-")</f>
        <v>-</v>
      </c>
      <c r="J61" s="44" t="s">
        <v>284</v>
      </c>
      <c r="L61" s="98">
        <f t="shared" si="0"/>
        <v>0.74997883090123907</v>
      </c>
      <c r="M61" s="110">
        <f t="shared" ref="M61:M101" si="2">(D62-D61)/D61</f>
        <v>-0.1347483699793954</v>
      </c>
      <c r="O61" s="81" t="str">
        <f t="shared" si="1"/>
        <v>-</v>
      </c>
    </row>
    <row r="62" spans="1:15" x14ac:dyDescent="0.25">
      <c r="A62" s="2" t="s">
        <v>56</v>
      </c>
      <c r="B62" s="2" t="s">
        <v>56</v>
      </c>
      <c r="C62" s="3" t="e">
        <f>AVERAGEIF(#REF!,A62,#REF!)</f>
        <v>#REF!</v>
      </c>
      <c r="D62" s="4">
        <v>30655</v>
      </c>
      <c r="E62" s="4" t="str">
        <f>IFERROR(INDEX('Market Results'!B:$B,MATCH(A62,'Market Results'!$A:A,0)),"-")</f>
        <v>-</v>
      </c>
      <c r="F62" s="43" t="s">
        <v>284</v>
      </c>
      <c r="G62" s="43"/>
      <c r="H62" s="4">
        <v>41488</v>
      </c>
      <c r="I62" s="4" t="str">
        <f>IFERROR(INDEX('Market Results'!F:$F,MATCH(A62,'Market Results'!$A:A,0)),"-")</f>
        <v>-</v>
      </c>
      <c r="J62" s="44" t="s">
        <v>284</v>
      </c>
      <c r="L62" s="98">
        <f t="shared" si="0"/>
        <v>0.35338443973250694</v>
      </c>
      <c r="M62" s="110">
        <f t="shared" si="2"/>
        <v>-0.13169140433860707</v>
      </c>
      <c r="O62" s="81" t="str">
        <f t="shared" si="1"/>
        <v>-</v>
      </c>
    </row>
    <row r="63" spans="1:15" x14ac:dyDescent="0.25">
      <c r="A63" s="2" t="s">
        <v>96</v>
      </c>
      <c r="B63" s="2" t="s">
        <v>146</v>
      </c>
      <c r="C63" s="3" t="e">
        <f>AVERAGEIF(#REF!,A63,#REF!)</f>
        <v>#REF!</v>
      </c>
      <c r="D63" s="4">
        <v>26618</v>
      </c>
      <c r="E63" s="4" t="str">
        <f>IFERROR(INDEX('Market Results'!B:$B,MATCH(A63,'Market Results'!$A:A,0)),"-")</f>
        <v>-</v>
      </c>
      <c r="F63" s="43" t="s">
        <v>284</v>
      </c>
      <c r="G63" s="43"/>
      <c r="H63" s="4">
        <v>50575</v>
      </c>
      <c r="I63" s="4" t="str">
        <f>IFERROR(INDEX('Market Results'!F:$F,MATCH(A63,'Market Results'!$A:A,0)),"-")</f>
        <v>-</v>
      </c>
      <c r="J63" s="44" t="s">
        <v>284</v>
      </c>
      <c r="L63" s="98">
        <f t="shared" si="0"/>
        <v>0.90003005485010146</v>
      </c>
      <c r="M63" s="110">
        <f>(D65-D63)/D63</f>
        <v>9.996994514989857E-2</v>
      </c>
      <c r="O63" s="81" t="str">
        <f t="shared" si="1"/>
        <v>-</v>
      </c>
    </row>
    <row r="64" spans="1:15" x14ac:dyDescent="0.25">
      <c r="A64" s="2" t="s">
        <v>236</v>
      </c>
      <c r="B64" s="2" t="s">
        <v>147</v>
      </c>
      <c r="C64" s="3" t="e">
        <f>AVERAGEIF(#REF!,A64,#REF!)</f>
        <v>#REF!</v>
      </c>
      <c r="D64" s="4">
        <v>29279</v>
      </c>
      <c r="E64" s="4" t="str">
        <f>IFERROR(INDEX('Market Results'!B:$B,MATCH(A64,'Market Results'!$A:A,0)),"-")</f>
        <v>-</v>
      </c>
      <c r="F64" s="43" t="s">
        <v>284</v>
      </c>
      <c r="G64" s="43"/>
      <c r="H64" s="4">
        <v>54167</v>
      </c>
      <c r="I64" s="4" t="str">
        <f>IFERROR(INDEX('Market Results'!F:$F,MATCH(A64,'Market Results'!$A:A,0)),"-")</f>
        <v>-</v>
      </c>
      <c r="J64" s="44" t="s">
        <v>284</v>
      </c>
      <c r="L64" s="98"/>
      <c r="M64" s="110"/>
      <c r="O64" s="81" t="str">
        <f t="shared" si="1"/>
        <v>-</v>
      </c>
    </row>
    <row r="65" spans="1:15" x14ac:dyDescent="0.25">
      <c r="A65" s="2" t="s">
        <v>244</v>
      </c>
      <c r="B65" s="2" t="s">
        <v>147</v>
      </c>
      <c r="C65" s="3" t="e">
        <f>AVERAGEIF(#REF!,A65,#REF!)</f>
        <v>#REF!</v>
      </c>
      <c r="D65" s="4">
        <v>29279</v>
      </c>
      <c r="E65" s="4" t="str">
        <f>IFERROR(INDEX('Market Results'!B:$B,MATCH(A65,'Market Results'!$A:A,0)),"-")</f>
        <v>-</v>
      </c>
      <c r="F65" s="43" t="s">
        <v>284</v>
      </c>
      <c r="G65" s="43"/>
      <c r="H65" s="4">
        <v>54167</v>
      </c>
      <c r="I65" s="4" t="str">
        <f>IFERROR(INDEX('Market Results'!F:$F,MATCH(A65,'Market Results'!$A:A,0)),"-")</f>
        <v>-</v>
      </c>
      <c r="J65" s="44" t="s">
        <v>284</v>
      </c>
      <c r="L65" s="98">
        <f t="shared" si="0"/>
        <v>0.85002903104614225</v>
      </c>
      <c r="M65" s="110">
        <f t="shared" si="2"/>
        <v>0</v>
      </c>
      <c r="O65" s="81" t="str">
        <f t="shared" si="1"/>
        <v>-</v>
      </c>
    </row>
    <row r="66" spans="1:15" x14ac:dyDescent="0.25">
      <c r="A66" s="2" t="s">
        <v>15</v>
      </c>
      <c r="B66" s="2" t="s">
        <v>15</v>
      </c>
      <c r="C66" s="3" t="e">
        <f>AVERAGEIF(#REF!,A66,#REF!)</f>
        <v>#REF!</v>
      </c>
      <c r="D66" s="4">
        <v>29279</v>
      </c>
      <c r="E66" s="4" t="str">
        <f>IFERROR(INDEX('Market Results'!B:$B,MATCH(A66,'Market Results'!$A:A,0)),"-")</f>
        <v>-</v>
      </c>
      <c r="F66" s="43" t="s">
        <v>284</v>
      </c>
      <c r="G66" s="43"/>
      <c r="H66" s="4">
        <v>54167</v>
      </c>
      <c r="I66" s="4" t="str">
        <f>IFERROR(INDEX('Market Results'!F:$F,MATCH(A66,'Market Results'!$A:A,0)),"-")</f>
        <v>-</v>
      </c>
      <c r="J66" s="44" t="s">
        <v>284</v>
      </c>
      <c r="L66" s="98">
        <f t="shared" si="0"/>
        <v>0.85002903104614225</v>
      </c>
      <c r="M66" s="110"/>
      <c r="O66" s="81" t="str">
        <f t="shared" si="1"/>
        <v>-</v>
      </c>
    </row>
    <row r="67" spans="1:15" x14ac:dyDescent="0.25">
      <c r="A67" s="2" t="s">
        <v>119</v>
      </c>
      <c r="B67" s="2" t="s">
        <v>119</v>
      </c>
      <c r="C67" s="3" t="e">
        <f>AVERAGEIF(#REF!,A67,#REF!)</f>
        <v>#REF!</v>
      </c>
      <c r="D67" s="4">
        <v>27037</v>
      </c>
      <c r="E67" s="4">
        <f>IFERROR(INDEX('Market Results'!B:$B,MATCH(A67,'Market Results'!$A:A,0)),"-")</f>
        <v>34197.744251144097</v>
      </c>
      <c r="F67" s="43">
        <v>-0.26484980771328537</v>
      </c>
      <c r="G67" s="43"/>
      <c r="H67" s="4">
        <v>52681</v>
      </c>
      <c r="I67" s="4">
        <f>IFERROR(INDEX('Market Results'!F:$F,MATCH(A67,'Market Results'!$A:A,0)),"-")</f>
        <v>57318.021343243861</v>
      </c>
      <c r="J67" s="44">
        <v>-8.8020754033595813E-2</v>
      </c>
      <c r="L67" s="98">
        <f t="shared" si="0"/>
        <v>0.94847801161371459</v>
      </c>
      <c r="M67" s="110"/>
      <c r="O67" s="81" t="str">
        <f t="shared" si="1"/>
        <v>-</v>
      </c>
    </row>
    <row r="68" spans="1:15" x14ac:dyDescent="0.25">
      <c r="A68" s="2" t="s">
        <v>120</v>
      </c>
      <c r="B68" s="2" t="s">
        <v>223</v>
      </c>
      <c r="C68" s="3" t="e">
        <f>AVERAGEIF(#REF!,A68,#REF!)</f>
        <v>#REF!</v>
      </c>
      <c r="D68" s="4" t="s">
        <v>284</v>
      </c>
      <c r="E68" s="4" t="str">
        <f>IFERROR(INDEX('Market Results'!B:$B,MATCH(A68,'Market Results'!$A:A,0)),"-")</f>
        <v>-</v>
      </c>
      <c r="F68" s="43" t="s">
        <v>284</v>
      </c>
      <c r="G68" s="43"/>
      <c r="H68" s="4" t="str">
        <f t="shared" ref="H68:H73" si="3">IFERROR(INDEX(C:C,MATCH(B68,A:A,0)),"-")</f>
        <v>-</v>
      </c>
      <c r="I68" s="4" t="str">
        <f>IFERROR(INDEX('Market Results'!F:$F,MATCH(A68,'Market Results'!$A:A,0)),"-")</f>
        <v>-</v>
      </c>
      <c r="J68" s="44" t="s">
        <v>284</v>
      </c>
      <c r="L68" s="98" t="str">
        <f t="shared" si="0"/>
        <v>-</v>
      </c>
      <c r="M68" s="110"/>
      <c r="O68" s="81" t="str">
        <f t="shared" si="1"/>
        <v>-</v>
      </c>
    </row>
    <row r="69" spans="1:15" x14ac:dyDescent="0.25">
      <c r="A69" s="2" t="s">
        <v>83</v>
      </c>
      <c r="B69" s="2" t="s">
        <v>223</v>
      </c>
      <c r="C69" s="3" t="e">
        <f>AVERAGEIF(#REF!,A69,#REF!)</f>
        <v>#REF!</v>
      </c>
      <c r="D69" s="4" t="s">
        <v>284</v>
      </c>
      <c r="E69" s="4" t="str">
        <f>IFERROR(INDEX('Market Results'!B:$B,MATCH(A69,'Market Results'!$A:A,0)),"-")</f>
        <v>-</v>
      </c>
      <c r="F69" s="43" t="s">
        <v>284</v>
      </c>
      <c r="G69" s="43"/>
      <c r="H69" s="4" t="str">
        <f t="shared" si="3"/>
        <v>-</v>
      </c>
      <c r="I69" s="4" t="str">
        <f>IFERROR(INDEX('Market Results'!F:$F,MATCH(A69,'Market Results'!$A:A,0)),"-")</f>
        <v>-</v>
      </c>
      <c r="J69" s="44" t="s">
        <v>284</v>
      </c>
      <c r="L69" s="98" t="str">
        <f t="shared" si="0"/>
        <v>-</v>
      </c>
      <c r="M69" s="110"/>
      <c r="O69" s="81" t="str">
        <f t="shared" si="1"/>
        <v>-</v>
      </c>
    </row>
    <row r="70" spans="1:15" x14ac:dyDescent="0.25">
      <c r="A70" s="2" t="s">
        <v>224</v>
      </c>
      <c r="B70" s="2" t="s">
        <v>223</v>
      </c>
      <c r="C70" s="3" t="e">
        <f>AVERAGEIF(#REF!,A70,#REF!)</f>
        <v>#REF!</v>
      </c>
      <c r="D70" s="4" t="s">
        <v>284</v>
      </c>
      <c r="E70" s="4" t="str">
        <f>IFERROR(INDEX('Market Results'!B:$B,MATCH(A70,'Market Results'!$A:A,0)),"-")</f>
        <v>-</v>
      </c>
      <c r="F70" s="43" t="s">
        <v>284</v>
      </c>
      <c r="G70" s="43"/>
      <c r="H70" s="4" t="str">
        <f t="shared" si="3"/>
        <v>-</v>
      </c>
      <c r="I70" s="4" t="str">
        <f>IFERROR(INDEX('Market Results'!F:$F,MATCH(A70,'Market Results'!$A:A,0)),"-")</f>
        <v>-</v>
      </c>
      <c r="J70" s="44" t="s">
        <v>284</v>
      </c>
      <c r="L70" s="98" t="str">
        <f t="shared" si="0"/>
        <v>-</v>
      </c>
      <c r="M70" s="110"/>
      <c r="O70" s="81" t="str">
        <f t="shared" si="1"/>
        <v>-</v>
      </c>
    </row>
    <row r="71" spans="1:15" x14ac:dyDescent="0.25">
      <c r="A71" s="2" t="s">
        <v>102</v>
      </c>
      <c r="B71" s="2" t="s">
        <v>223</v>
      </c>
      <c r="C71" s="3" t="e">
        <f>AVERAGEIF(#REF!,A71,#REF!)</f>
        <v>#REF!</v>
      </c>
      <c r="D71" s="4" t="s">
        <v>284</v>
      </c>
      <c r="E71" s="4" t="str">
        <f>IFERROR(INDEX('Market Results'!B:$B,MATCH(A71,'Market Results'!$A:A,0)),"-")</f>
        <v>-</v>
      </c>
      <c r="F71" s="43" t="s">
        <v>284</v>
      </c>
      <c r="G71" s="43"/>
      <c r="H71" s="4" t="str">
        <f t="shared" si="3"/>
        <v>-</v>
      </c>
      <c r="I71" s="4" t="str">
        <f>IFERROR(INDEX('Market Results'!F:$F,MATCH(A71,'Market Results'!$A:A,0)),"-")</f>
        <v>-</v>
      </c>
      <c r="J71" s="44" t="s">
        <v>284</v>
      </c>
      <c r="L71" s="98" t="str">
        <f t="shared" si="0"/>
        <v>-</v>
      </c>
      <c r="M71" s="110" t="e">
        <f t="shared" si="2"/>
        <v>#VALUE!</v>
      </c>
      <c r="O71" s="81" t="str">
        <f t="shared" si="1"/>
        <v>-</v>
      </c>
    </row>
    <row r="72" spans="1:15" x14ac:dyDescent="0.25">
      <c r="A72" s="2" t="s">
        <v>240</v>
      </c>
      <c r="B72" s="2" t="s">
        <v>223</v>
      </c>
      <c r="C72" s="3" t="e">
        <f>AVERAGEIF(#REF!,A72,#REF!)</f>
        <v>#REF!</v>
      </c>
      <c r="D72" s="4" t="s">
        <v>284</v>
      </c>
      <c r="E72" s="4" t="str">
        <f>IFERROR(INDEX('Market Results'!B:$B,MATCH(A72,'Market Results'!$A:A,0)),"-")</f>
        <v>-</v>
      </c>
      <c r="F72" s="43" t="s">
        <v>284</v>
      </c>
      <c r="G72" s="43"/>
      <c r="H72" s="4" t="str">
        <f t="shared" si="3"/>
        <v>-</v>
      </c>
      <c r="I72" s="4" t="str">
        <f>IFERROR(INDEX('Market Results'!F:$F,MATCH(A72,'Market Results'!$A:A,0)),"-")</f>
        <v>-</v>
      </c>
      <c r="J72" s="44" t="s">
        <v>284</v>
      </c>
      <c r="L72" s="98" t="str">
        <f t="shared" si="0"/>
        <v>-</v>
      </c>
      <c r="M72" s="110" t="e">
        <f t="shared" si="2"/>
        <v>#VALUE!</v>
      </c>
      <c r="O72" s="81" t="str">
        <f t="shared" si="1"/>
        <v>-</v>
      </c>
    </row>
    <row r="73" spans="1:15" x14ac:dyDescent="0.25">
      <c r="A73" s="2" t="s">
        <v>242</v>
      </c>
      <c r="B73" s="2" t="s">
        <v>223</v>
      </c>
      <c r="C73" s="3" t="e">
        <f>AVERAGEIF(#REF!,A73,#REF!)</f>
        <v>#REF!</v>
      </c>
      <c r="D73" s="4" t="s">
        <v>284</v>
      </c>
      <c r="E73" s="4" t="str">
        <f>IFERROR(INDEX('Market Results'!B:$B,MATCH(A73,'Market Results'!$A:A,0)),"-")</f>
        <v>-</v>
      </c>
      <c r="F73" s="43" t="s">
        <v>284</v>
      </c>
      <c r="G73" s="43"/>
      <c r="H73" s="4" t="str">
        <f t="shared" si="3"/>
        <v>-</v>
      </c>
      <c r="I73" s="4" t="str">
        <f>IFERROR(INDEX('Market Results'!F:$F,MATCH(A73,'Market Results'!$A:A,0)),"-")</f>
        <v>-</v>
      </c>
      <c r="J73" s="44" t="s">
        <v>284</v>
      </c>
      <c r="L73" s="98" t="str">
        <f t="shared" si="0"/>
        <v>-</v>
      </c>
      <c r="M73" s="110"/>
      <c r="O73" s="81" t="str">
        <f t="shared" si="1"/>
        <v>-</v>
      </c>
    </row>
    <row r="74" spans="1:15" x14ac:dyDescent="0.25">
      <c r="A74" s="2" t="s">
        <v>73</v>
      </c>
      <c r="B74" s="2" t="s">
        <v>151</v>
      </c>
      <c r="C74" s="3" t="e">
        <f>AVERAGEIF(#REF!,A74,#REF!)</f>
        <v>#REF!</v>
      </c>
      <c r="D74" s="4">
        <v>35429</v>
      </c>
      <c r="E74" s="4" t="str">
        <f>IFERROR(INDEX('Market Results'!B:$B,MATCH(A74,'Market Results'!$A:A,0)),"-")</f>
        <v>-</v>
      </c>
      <c r="F74" s="43" t="s">
        <v>284</v>
      </c>
      <c r="G74" s="43"/>
      <c r="H74" s="4">
        <v>62000</v>
      </c>
      <c r="I74" s="4" t="str">
        <f>IFERROR(INDEX('Market Results'!F:$F,MATCH(A74,'Market Results'!$A:A,0)),"-")</f>
        <v>-</v>
      </c>
      <c r="J74" s="44" t="s">
        <v>284</v>
      </c>
      <c r="L74" s="98">
        <f t="shared" si="0"/>
        <v>0.74997883090123907</v>
      </c>
      <c r="M74" s="110"/>
      <c r="O74" s="81" t="str">
        <f t="shared" si="1"/>
        <v>-</v>
      </c>
    </row>
    <row r="75" spans="1:15" x14ac:dyDescent="0.25">
      <c r="A75" s="2" t="s">
        <v>95</v>
      </c>
      <c r="B75" s="2" t="s">
        <v>95</v>
      </c>
      <c r="C75" s="3" t="e">
        <f>AVERAGEIF(#REF!,A75,#REF!)</f>
        <v>#REF!</v>
      </c>
      <c r="D75" s="4">
        <v>35429</v>
      </c>
      <c r="E75" s="4" t="str">
        <f>IFERROR(INDEX('Market Results'!B:$B,MATCH(A75,'Market Results'!$A:A,0)),"-")</f>
        <v>-</v>
      </c>
      <c r="F75" s="43" t="s">
        <v>284</v>
      </c>
      <c r="G75" s="43"/>
      <c r="H75" s="4">
        <v>62000</v>
      </c>
      <c r="I75" s="4" t="str">
        <f>IFERROR(INDEX('Market Results'!F:$F,MATCH(A75,'Market Results'!$A:A,0)),"-")</f>
        <v>-</v>
      </c>
      <c r="J75" s="44" t="s">
        <v>284</v>
      </c>
      <c r="L75" s="98">
        <f t="shared" si="0"/>
        <v>0.74997883090123907</v>
      </c>
      <c r="M75" s="110"/>
      <c r="O75" s="81" t="str">
        <f t="shared" si="1"/>
        <v>-</v>
      </c>
    </row>
    <row r="76" spans="1:15" x14ac:dyDescent="0.25">
      <c r="A76" s="2" t="s">
        <v>153</v>
      </c>
      <c r="B76" s="2" t="s">
        <v>153</v>
      </c>
      <c r="C76" s="3" t="e">
        <f>AVERAGEIF(#REF!,A76,#REF!)</f>
        <v>#REF!</v>
      </c>
      <c r="D76" s="4">
        <v>26618</v>
      </c>
      <c r="E76" s="4" t="str">
        <f>IFERROR(INDEX('Market Results'!B:$B,MATCH(A76,'Market Results'!$A:A,0)),"-")</f>
        <v>-</v>
      </c>
      <c r="F76" s="43" t="s">
        <v>284</v>
      </c>
      <c r="G76" s="43"/>
      <c r="H76" s="4">
        <v>50575</v>
      </c>
      <c r="I76" s="4" t="str">
        <f>IFERROR(INDEX('Market Results'!F:$F,MATCH(A76,'Market Results'!$A:A,0)),"-")</f>
        <v>-</v>
      </c>
      <c r="J76" s="44" t="s">
        <v>284</v>
      </c>
      <c r="L76" s="98">
        <f t="shared" si="0"/>
        <v>0.90003005485010146</v>
      </c>
      <c r="M76" s="110"/>
      <c r="O76" s="81" t="str">
        <f t="shared" si="1"/>
        <v>-</v>
      </c>
    </row>
    <row r="77" spans="1:15" x14ac:dyDescent="0.25">
      <c r="A77" s="2" t="s">
        <v>154</v>
      </c>
      <c r="B77" s="2" t="s">
        <v>154</v>
      </c>
      <c r="C77" s="3" t="e">
        <f>AVERAGEIF(#REF!,A77,#REF!)</f>
        <v>#REF!</v>
      </c>
      <c r="D77" s="4">
        <v>30655</v>
      </c>
      <c r="E77" s="4">
        <f>IFERROR(INDEX('Market Results'!B:$B,MATCH(A77,'Market Results'!$A:A,0)),"-")</f>
        <v>26669.952895527749</v>
      </c>
      <c r="F77" s="43">
        <v>0.12999664343409723</v>
      </c>
      <c r="G77" s="43"/>
      <c r="H77" s="4">
        <v>41488</v>
      </c>
      <c r="I77" s="4">
        <f>IFERROR(INDEX('Market Results'!F:$F,MATCH(A77,'Market Results'!$A:A,0)),"-")</f>
        <v>44225.79375463209</v>
      </c>
      <c r="J77" s="44">
        <v>-6.5990015296762683E-2</v>
      </c>
      <c r="L77" s="98">
        <f t="shared" si="0"/>
        <v>0.35338443973250694</v>
      </c>
      <c r="M77" s="110"/>
      <c r="O77" s="81" t="str">
        <f t="shared" si="1"/>
        <v>-</v>
      </c>
    </row>
    <row r="78" spans="1:15" x14ac:dyDescent="0.25">
      <c r="A78" s="2" t="s">
        <v>60</v>
      </c>
      <c r="B78" s="2" t="s">
        <v>60</v>
      </c>
      <c r="C78" s="3" t="e">
        <f>AVERAGEIF(#REF!,A78,#REF!)</f>
        <v>#REF!</v>
      </c>
      <c r="D78" s="4">
        <v>48500</v>
      </c>
      <c r="E78" s="4">
        <f>IFERROR(INDEX('Market Results'!B:$B,MATCH(A78,'Market Results'!$A:A,0)),"-")</f>
        <v>38438.271003488007</v>
      </c>
      <c r="F78" s="43">
        <v>0.20745832982498955</v>
      </c>
      <c r="G78" s="43"/>
      <c r="H78" s="4">
        <v>65338</v>
      </c>
      <c r="I78" s="4">
        <f>IFERROR(INDEX('Market Results'!F:$F,MATCH(A78,'Market Results'!$A:A,0)),"-")</f>
        <v>61759.363775598882</v>
      </c>
      <c r="J78" s="44">
        <v>5.4771132027321284E-2</v>
      </c>
      <c r="L78" s="98">
        <f t="shared" si="0"/>
        <v>0.34717525773195879</v>
      </c>
      <c r="M78" s="110"/>
      <c r="O78" s="81" t="str">
        <f t="shared" si="1"/>
        <v>-</v>
      </c>
    </row>
    <row r="79" spans="1:15" x14ac:dyDescent="0.25">
      <c r="A79" s="2" t="s">
        <v>8</v>
      </c>
      <c r="B79" s="2" t="s">
        <v>155</v>
      </c>
      <c r="C79" s="3" t="e">
        <f>AVERAGEIF(#REF!,A79,#REF!)</f>
        <v>#REF!</v>
      </c>
      <c r="D79" s="4">
        <v>11652</v>
      </c>
      <c r="E79" s="4" t="str">
        <f>IFERROR(INDEX('Market Results'!B:$B,MATCH(A79,'Market Results'!$A:A,0)),"-")</f>
        <v>-</v>
      </c>
      <c r="F79" s="43" t="s">
        <v>284</v>
      </c>
      <c r="G79" s="43"/>
      <c r="H79" s="4">
        <v>18043</v>
      </c>
      <c r="I79" s="4" t="str">
        <f>IFERROR(INDEX('Market Results'!F:$F,MATCH(A79,'Market Results'!$A:A,0)),"-")</f>
        <v>-</v>
      </c>
      <c r="J79" s="44" t="s">
        <v>284</v>
      </c>
      <c r="L79" s="98">
        <f t="shared" si="0"/>
        <v>0.54848952969447307</v>
      </c>
      <c r="M79" s="110"/>
      <c r="O79" s="81" t="str">
        <f t="shared" si="1"/>
        <v>-</v>
      </c>
    </row>
    <row r="80" spans="1:15" x14ac:dyDescent="0.25">
      <c r="A80" s="2" t="s">
        <v>247</v>
      </c>
      <c r="B80" s="2" t="s">
        <v>156</v>
      </c>
      <c r="C80" s="3" t="e">
        <f>AVERAGEIF(#REF!,A80,#REF!)</f>
        <v>#REF!</v>
      </c>
      <c r="D80" s="4">
        <v>18939</v>
      </c>
      <c r="E80" s="4" t="str">
        <f>IFERROR(INDEX('Market Results'!B:$B,MATCH(A80,'Market Results'!$A:A,0)),"-")</f>
        <v>-</v>
      </c>
      <c r="F80" s="43" t="s">
        <v>284</v>
      </c>
      <c r="G80" s="43"/>
      <c r="H80" s="4">
        <v>30436</v>
      </c>
      <c r="I80" s="4" t="str">
        <f>IFERROR(INDEX('Market Results'!F:$F,MATCH(A80,'Market Results'!$A:A,0)),"-")</f>
        <v>-</v>
      </c>
      <c r="J80" s="44" t="s">
        <v>284</v>
      </c>
      <c r="L80" s="98">
        <f t="shared" si="0"/>
        <v>0.60705422672791598</v>
      </c>
      <c r="M80" s="110">
        <f t="shared" si="2"/>
        <v>0.39933470616188815</v>
      </c>
      <c r="O80" s="81" t="str">
        <f t="shared" si="1"/>
        <v>-</v>
      </c>
    </row>
    <row r="81" spans="1:15" x14ac:dyDescent="0.25">
      <c r="A81" s="2" t="s">
        <v>57</v>
      </c>
      <c r="B81" s="2" t="s">
        <v>158</v>
      </c>
      <c r="C81" s="3" t="e">
        <f>AVERAGEIF(#REF!,A81,#REF!)</f>
        <v>#REF!</v>
      </c>
      <c r="D81" s="4">
        <v>26502</v>
      </c>
      <c r="E81" s="4" t="str">
        <f>IFERROR(INDEX('Market Results'!B:$B,MATCH(A81,'Market Results'!$A:A,0)),"-")</f>
        <v>-</v>
      </c>
      <c r="F81" s="43" t="s">
        <v>284</v>
      </c>
      <c r="G81" s="43"/>
      <c r="H81" s="4">
        <v>41666</v>
      </c>
      <c r="I81" s="4" t="str">
        <f>IFERROR(INDEX('Market Results'!F:$F,MATCH(A81,'Market Results'!$A:A,0)),"-")</f>
        <v>-</v>
      </c>
      <c r="J81" s="44" t="s">
        <v>284</v>
      </c>
      <c r="L81" s="98">
        <f t="shared" si="0"/>
        <v>0.57218323145422989</v>
      </c>
      <c r="M81" s="110"/>
      <c r="O81" s="81" t="str">
        <f t="shared" si="1"/>
        <v>-</v>
      </c>
    </row>
    <row r="82" spans="1:15" x14ac:dyDescent="0.25">
      <c r="A82" s="2" t="s">
        <v>245</v>
      </c>
      <c r="B82" s="2" t="s">
        <v>159</v>
      </c>
      <c r="C82" s="3" t="e">
        <f>AVERAGEIF(#REF!,A82,#REF!)</f>
        <v>#REF!</v>
      </c>
      <c r="D82" s="4">
        <v>24198</v>
      </c>
      <c r="E82" s="4" t="str">
        <f>IFERROR(INDEX('Market Results'!B:$B,MATCH(A82,'Market Results'!$A:A,0)),"-")</f>
        <v>-</v>
      </c>
      <c r="F82" s="43" t="s">
        <v>284</v>
      </c>
      <c r="G82" s="43"/>
      <c r="H82" s="4">
        <v>48396</v>
      </c>
      <c r="I82" s="4" t="str">
        <f>IFERROR(INDEX('Market Results'!F:$F,MATCH(A82,'Market Results'!$A:A,0)),"-")</f>
        <v>-</v>
      </c>
      <c r="J82" s="44" t="s">
        <v>284</v>
      </c>
      <c r="L82" s="98">
        <f t="shared" si="0"/>
        <v>1</v>
      </c>
      <c r="M82" s="110">
        <f t="shared" si="2"/>
        <v>0</v>
      </c>
      <c r="O82" s="81" t="str">
        <f t="shared" si="1"/>
        <v>-</v>
      </c>
    </row>
    <row r="83" spans="1:15" x14ac:dyDescent="0.25">
      <c r="A83" s="2" t="s">
        <v>19</v>
      </c>
      <c r="B83" s="2" t="s">
        <v>160</v>
      </c>
      <c r="C83" s="3" t="e">
        <f>AVERAGEIF(#REF!,A83,#REF!)</f>
        <v>#REF!</v>
      </c>
      <c r="D83" s="4">
        <v>24198</v>
      </c>
      <c r="E83" s="4" t="str">
        <f>IFERROR(INDEX('Market Results'!B:$B,MATCH(A83,'Market Results'!$A:A,0)),"-")</f>
        <v>-</v>
      </c>
      <c r="F83" s="43" t="s">
        <v>284</v>
      </c>
      <c r="G83" s="43"/>
      <c r="H83" s="4">
        <v>48396</v>
      </c>
      <c r="I83" s="4" t="str">
        <f>IFERROR(INDEX('Market Results'!F:$F,MATCH(A83,'Market Results'!$A:A,0)),"-")</f>
        <v>-</v>
      </c>
      <c r="J83" s="44" t="s">
        <v>284</v>
      </c>
      <c r="L83" s="98">
        <f t="shared" si="0"/>
        <v>1</v>
      </c>
      <c r="M83" s="110"/>
      <c r="O83" s="81" t="str">
        <f t="shared" si="1"/>
        <v>-</v>
      </c>
    </row>
    <row r="84" spans="1:15" x14ac:dyDescent="0.25">
      <c r="A84" s="2" t="s">
        <v>108</v>
      </c>
      <c r="B84" s="2" t="s">
        <v>160</v>
      </c>
      <c r="C84" s="3" t="e">
        <f>AVERAGEIF(#REF!,A84,#REF!)</f>
        <v>#REF!</v>
      </c>
      <c r="D84" s="4">
        <v>24198</v>
      </c>
      <c r="E84" s="4" t="str">
        <f>IFERROR(INDEX('Market Results'!B:$B,MATCH(A84,'Market Results'!$A:A,0)),"-")</f>
        <v>-</v>
      </c>
      <c r="F84" s="43" t="s">
        <v>284</v>
      </c>
      <c r="G84" s="43"/>
      <c r="H84" s="4">
        <v>48396</v>
      </c>
      <c r="I84" s="4" t="str">
        <f>IFERROR(INDEX('Market Results'!F:$F,MATCH(A84,'Market Results'!$A:A,0)),"-")</f>
        <v>-</v>
      </c>
      <c r="J84" s="44" t="s">
        <v>284</v>
      </c>
      <c r="L84" s="98">
        <f t="shared" si="0"/>
        <v>1</v>
      </c>
      <c r="M84" s="110"/>
      <c r="O84" s="81" t="str">
        <f t="shared" si="1"/>
        <v>-</v>
      </c>
    </row>
    <row r="85" spans="1:15" x14ac:dyDescent="0.25">
      <c r="A85" s="2" t="s">
        <v>233</v>
      </c>
      <c r="B85" s="2" t="s">
        <v>160</v>
      </c>
      <c r="C85" s="3" t="e">
        <f>AVERAGEIF(#REF!,A85,#REF!)</f>
        <v>#REF!</v>
      </c>
      <c r="D85" s="4">
        <v>24198</v>
      </c>
      <c r="E85" s="4" t="str">
        <f>IFERROR(INDEX('Market Results'!B:$B,MATCH(A85,'Market Results'!$A:A,0)),"-")</f>
        <v>-</v>
      </c>
      <c r="F85" s="43" t="s">
        <v>284</v>
      </c>
      <c r="G85" s="43"/>
      <c r="H85" s="4">
        <v>48396</v>
      </c>
      <c r="I85" s="4" t="str">
        <f>IFERROR(INDEX('Market Results'!F:$F,MATCH(A85,'Market Results'!$A:A,0)),"-")</f>
        <v>-</v>
      </c>
      <c r="J85" s="44" t="s">
        <v>284</v>
      </c>
      <c r="L85" s="98">
        <f t="shared" si="0"/>
        <v>1</v>
      </c>
      <c r="M85" s="110"/>
      <c r="O85" s="81" t="str">
        <f t="shared" si="1"/>
        <v>-</v>
      </c>
    </row>
    <row r="86" spans="1:15" x14ac:dyDescent="0.25">
      <c r="A86" s="2" t="s">
        <v>231</v>
      </c>
      <c r="B86" s="2" t="s">
        <v>160</v>
      </c>
      <c r="C86" s="3" t="e">
        <f>AVERAGEIF(#REF!,A86,#REF!)</f>
        <v>#REF!</v>
      </c>
      <c r="D86" s="4">
        <v>24198</v>
      </c>
      <c r="E86" s="4" t="str">
        <f>IFERROR(INDEX('Market Results'!B:$B,MATCH(A86,'Market Results'!$A:A,0)),"-")</f>
        <v>-</v>
      </c>
      <c r="F86" s="43" t="s">
        <v>284</v>
      </c>
      <c r="G86" s="43"/>
      <c r="H86" s="4">
        <v>48396</v>
      </c>
      <c r="I86" s="4" t="str">
        <f>IFERROR(INDEX('Market Results'!F:$F,MATCH(A86,'Market Results'!$A:A,0)),"-")</f>
        <v>-</v>
      </c>
      <c r="J86" s="44" t="s">
        <v>284</v>
      </c>
      <c r="L86" s="98">
        <f t="shared" si="0"/>
        <v>1</v>
      </c>
      <c r="M86" s="110">
        <f t="shared" si="2"/>
        <v>0.10000826514587982</v>
      </c>
      <c r="O86" s="81" t="str">
        <f t="shared" si="1"/>
        <v>-</v>
      </c>
    </row>
    <row r="87" spans="1:15" x14ac:dyDescent="0.25">
      <c r="A87" s="2" t="s">
        <v>234</v>
      </c>
      <c r="B87" s="2" t="s">
        <v>161</v>
      </c>
      <c r="C87" s="3" t="e">
        <f>AVERAGEIF(#REF!,A87,#REF!)</f>
        <v>#REF!</v>
      </c>
      <c r="D87" s="4">
        <v>26618</v>
      </c>
      <c r="E87" s="4" t="str">
        <f>IFERROR(INDEX('Market Results'!B:$B,MATCH(A87,'Market Results'!$A:A,0)),"-")</f>
        <v>-</v>
      </c>
      <c r="F87" s="43" t="s">
        <v>284</v>
      </c>
      <c r="G87" s="43"/>
      <c r="H87" s="4">
        <v>50575</v>
      </c>
      <c r="I87" s="4" t="str">
        <f>IFERROR(INDEX('Market Results'!F:$F,MATCH(A87,'Market Results'!$A:A,0)),"-")</f>
        <v>-</v>
      </c>
      <c r="J87" s="44" t="s">
        <v>284</v>
      </c>
      <c r="L87" s="98">
        <f t="shared" si="0"/>
        <v>0.90003005485010146</v>
      </c>
      <c r="M87" s="110"/>
      <c r="O87" s="81" t="str">
        <f t="shared" si="1"/>
        <v>-</v>
      </c>
    </row>
    <row r="88" spans="1:15" x14ac:dyDescent="0.25">
      <c r="A88" s="2" t="s">
        <v>241</v>
      </c>
      <c r="B88" s="2" t="s">
        <v>161</v>
      </c>
      <c r="C88" s="3" t="e">
        <f>AVERAGEIF(#REF!,A88,#REF!)</f>
        <v>#REF!</v>
      </c>
      <c r="D88" s="4">
        <v>26618</v>
      </c>
      <c r="E88" s="4" t="str">
        <f>IFERROR(INDEX('Market Results'!B:$B,MATCH(A88,'Market Results'!$A:A,0)),"-")</f>
        <v>-</v>
      </c>
      <c r="F88" s="43" t="s">
        <v>284</v>
      </c>
      <c r="G88" s="43"/>
      <c r="H88" s="4">
        <v>50575</v>
      </c>
      <c r="I88" s="4" t="str">
        <f>IFERROR(INDEX('Market Results'!F:$F,MATCH(A88,'Market Results'!$A:A,0)),"-")</f>
        <v>-</v>
      </c>
      <c r="J88" s="44" t="s">
        <v>284</v>
      </c>
      <c r="L88" s="98">
        <f t="shared" si="0"/>
        <v>0.90003005485010146</v>
      </c>
      <c r="M88" s="110">
        <f t="shared" si="2"/>
        <v>0</v>
      </c>
      <c r="O88" s="81" t="str">
        <f t="shared" si="1"/>
        <v>-</v>
      </c>
    </row>
    <row r="89" spans="1:15" x14ac:dyDescent="0.25">
      <c r="A89" s="2" t="s">
        <v>106</v>
      </c>
      <c r="B89" s="2" t="s">
        <v>161</v>
      </c>
      <c r="C89" s="3" t="e">
        <f>AVERAGEIF(#REF!,A89,#REF!)</f>
        <v>#REF!</v>
      </c>
      <c r="D89" s="4">
        <v>26618</v>
      </c>
      <c r="E89" s="4" t="str">
        <f>IFERROR(INDEX('Market Results'!B:$B,MATCH(A89,'Market Results'!$A:A,0)),"-")</f>
        <v>-</v>
      </c>
      <c r="F89" s="43" t="s">
        <v>284</v>
      </c>
      <c r="G89" s="43"/>
      <c r="H89" s="4">
        <v>50575</v>
      </c>
      <c r="I89" s="4" t="str">
        <f>IFERROR(INDEX('Market Results'!F:$F,MATCH(A89,'Market Results'!$A:A,0)),"-")</f>
        <v>-</v>
      </c>
      <c r="J89" s="44" t="s">
        <v>284</v>
      </c>
      <c r="L89" s="98">
        <f t="shared" si="0"/>
        <v>0.90003005485010146</v>
      </c>
      <c r="M89" s="110"/>
      <c r="O89" s="81" t="str">
        <f t="shared" si="1"/>
        <v>-</v>
      </c>
    </row>
    <row r="90" spans="1:15" x14ac:dyDescent="0.25">
      <c r="A90" s="2" t="s">
        <v>118</v>
      </c>
      <c r="B90" s="2" t="s">
        <v>118</v>
      </c>
      <c r="C90" s="3" t="e">
        <f>AVERAGEIF(#REF!,A90,#REF!)</f>
        <v>#REF!</v>
      </c>
      <c r="D90" s="4">
        <v>30655</v>
      </c>
      <c r="E90" s="4" t="str">
        <f>IFERROR(INDEX('Market Results'!B:$B,MATCH(A90,'Market Results'!$A:A,0)),"-")</f>
        <v>-</v>
      </c>
      <c r="F90" s="43"/>
      <c r="G90" s="43"/>
      <c r="H90" s="4">
        <f>IFERROR(INDEX(C:C,MATCH(B90,A:A,0)),"-")</f>
        <v>41488</v>
      </c>
      <c r="I90" s="4" t="str">
        <f>IFERROR(INDEX('Market Results'!F:$F,MATCH(A90,'Market Results'!$A:A,0)),"-")</f>
        <v>-</v>
      </c>
      <c r="J90" s="44"/>
      <c r="L90" s="98">
        <f t="shared" si="0"/>
        <v>0.35338443973250694</v>
      </c>
      <c r="M90" s="110"/>
      <c r="O90" s="81" t="str">
        <f t="shared" si="1"/>
        <v>-</v>
      </c>
    </row>
    <row r="91" spans="1:15" x14ac:dyDescent="0.25">
      <c r="A91" s="2" t="s">
        <v>238</v>
      </c>
      <c r="B91" s="2" t="s">
        <v>14</v>
      </c>
      <c r="C91" s="3" t="e">
        <f>AVERAGEIF(#REF!,A91,#REF!)</f>
        <v>#REF!</v>
      </c>
      <c r="D91" s="4">
        <v>17692</v>
      </c>
      <c r="E91" s="4" t="str">
        <f>IFERROR(INDEX('Market Results'!B:$B,MATCH(A91,'Market Results'!$A:A,0)),"-")</f>
        <v>-</v>
      </c>
      <c r="F91" s="43" t="s">
        <v>284</v>
      </c>
      <c r="G91" s="43"/>
      <c r="H91" s="4">
        <v>32523</v>
      </c>
      <c r="I91" s="4" t="str">
        <f>IFERROR(INDEX('Market Results'!F:$F,MATCH(A91,'Market Results'!$A:A,0)),"-")</f>
        <v>-</v>
      </c>
      <c r="J91" s="44" t="s">
        <v>284</v>
      </c>
      <c r="L91" s="98">
        <f t="shared" si="0"/>
        <v>0.83828849197377342</v>
      </c>
      <c r="M91" s="110"/>
      <c r="O91" s="81" t="str">
        <f t="shared" si="1"/>
        <v>-</v>
      </c>
    </row>
    <row r="92" spans="1:15" x14ac:dyDescent="0.25">
      <c r="A92" s="2" t="s">
        <v>226</v>
      </c>
      <c r="B92" s="2" t="s">
        <v>14</v>
      </c>
      <c r="C92" s="3" t="e">
        <f>AVERAGEIF(#REF!,A92,#REF!)</f>
        <v>#REF!</v>
      </c>
      <c r="D92" s="4">
        <v>17692</v>
      </c>
      <c r="E92" s="4" t="str">
        <f>IFERROR(INDEX('Market Results'!B:$B,MATCH(A92,'Market Results'!$A:A,0)),"-")</f>
        <v>-</v>
      </c>
      <c r="F92" s="43" t="s">
        <v>284</v>
      </c>
      <c r="G92" s="43"/>
      <c r="H92" s="4">
        <v>32523</v>
      </c>
      <c r="I92" s="4" t="str">
        <f>IFERROR(INDEX('Market Results'!F:$F,MATCH(A92,'Market Results'!$A:A,0)),"-")</f>
        <v>-</v>
      </c>
      <c r="J92" s="44" t="s">
        <v>284</v>
      </c>
      <c r="L92" s="98">
        <f t="shared" si="0"/>
        <v>0.83828849197377342</v>
      </c>
      <c r="M92" s="110">
        <f t="shared" si="2"/>
        <v>0</v>
      </c>
      <c r="O92" s="81" t="str">
        <f t="shared" si="1"/>
        <v>-</v>
      </c>
    </row>
    <row r="93" spans="1:15" x14ac:dyDescent="0.25">
      <c r="A93" s="2" t="s">
        <v>239</v>
      </c>
      <c r="B93" s="2" t="s">
        <v>14</v>
      </c>
      <c r="C93" s="3" t="e">
        <f>AVERAGEIF(#REF!,A93,#REF!)</f>
        <v>#REF!</v>
      </c>
      <c r="D93" s="4">
        <v>17692</v>
      </c>
      <c r="E93" s="4" t="str">
        <f>IFERROR(INDEX('Market Results'!B:$B,MATCH(A93,'Market Results'!$A:A,0)),"-")</f>
        <v>-</v>
      </c>
      <c r="F93" s="43" t="s">
        <v>284</v>
      </c>
      <c r="G93" s="43"/>
      <c r="H93" s="4">
        <v>32523</v>
      </c>
      <c r="I93" s="4" t="str">
        <f>IFERROR(INDEX('Market Results'!F:$F,MATCH(A93,'Market Results'!$A:A,0)),"-")</f>
        <v>-</v>
      </c>
      <c r="J93" s="44" t="s">
        <v>284</v>
      </c>
      <c r="L93" s="98">
        <f t="shared" si="0"/>
        <v>0.83828849197377342</v>
      </c>
      <c r="M93" s="110"/>
      <c r="O93" s="81" t="str">
        <f t="shared" si="1"/>
        <v>-</v>
      </c>
    </row>
    <row r="94" spans="1:15" x14ac:dyDescent="0.25">
      <c r="A94" s="2" t="s">
        <v>232</v>
      </c>
      <c r="B94" s="2" t="s">
        <v>14</v>
      </c>
      <c r="C94" s="3" t="e">
        <f>AVERAGEIF(#REF!,A94,#REF!)</f>
        <v>#REF!</v>
      </c>
      <c r="D94" s="4">
        <v>17692</v>
      </c>
      <c r="E94" s="4" t="str">
        <f>IFERROR(INDEX('Market Results'!B:$B,MATCH(A94,'Market Results'!$A:A,0)),"-")</f>
        <v>-</v>
      </c>
      <c r="F94" s="43" t="s">
        <v>284</v>
      </c>
      <c r="G94" s="43"/>
      <c r="H94" s="4">
        <v>32523</v>
      </c>
      <c r="I94" s="4" t="str">
        <f>IFERROR(INDEX('Market Results'!F:$F,MATCH(A94,'Market Results'!$A:A,0)),"-")</f>
        <v>-</v>
      </c>
      <c r="J94" s="44" t="s">
        <v>284</v>
      </c>
      <c r="L94" s="98">
        <f t="shared" si="0"/>
        <v>0.83828849197377342</v>
      </c>
      <c r="M94" s="110"/>
      <c r="O94" s="81" t="str">
        <f t="shared" si="1"/>
        <v>-</v>
      </c>
    </row>
    <row r="95" spans="1:15" x14ac:dyDescent="0.25">
      <c r="A95" s="2" t="s">
        <v>14</v>
      </c>
      <c r="B95" s="2" t="s">
        <v>14</v>
      </c>
      <c r="C95" s="3" t="e">
        <f>AVERAGEIF(#REF!,A95,#REF!)</f>
        <v>#REF!</v>
      </c>
      <c r="D95" s="4">
        <v>17692</v>
      </c>
      <c r="E95" s="4">
        <f>IFERROR(INDEX('Market Results'!B:$B,MATCH(A95,'Market Results'!$A:A,0)),"-")</f>
        <v>20612.085261199329</v>
      </c>
      <c r="F95" s="43">
        <v>-0.16505116782722862</v>
      </c>
      <c r="G95" s="43"/>
      <c r="H95" s="4">
        <v>32523</v>
      </c>
      <c r="I95" s="4">
        <f>IFERROR(INDEX('Market Results'!F:$F,MATCH(A95,'Market Results'!$A:A,0)),"-")</f>
        <v>33208.095974921125</v>
      </c>
      <c r="J95" s="44">
        <v>-2.1064968635154356E-2</v>
      </c>
      <c r="L95" s="98">
        <f t="shared" si="0"/>
        <v>0.83828849197377342</v>
      </c>
      <c r="M95" s="110"/>
      <c r="O95" s="81" t="str">
        <f t="shared" si="1"/>
        <v>-</v>
      </c>
    </row>
    <row r="96" spans="1:15" x14ac:dyDescent="0.25">
      <c r="A96" s="2" t="s">
        <v>84</v>
      </c>
      <c r="B96" s="2" t="s">
        <v>14</v>
      </c>
      <c r="C96" s="3" t="e">
        <f>AVERAGEIF(#REF!,A96,#REF!)</f>
        <v>#REF!</v>
      </c>
      <c r="D96" s="4">
        <v>17692</v>
      </c>
      <c r="E96" s="4" t="str">
        <f>IFERROR(INDEX('Market Results'!B:$B,MATCH(A96,'Market Results'!$A:A,0)),"-")</f>
        <v>-</v>
      </c>
      <c r="F96" s="43" t="s">
        <v>284</v>
      </c>
      <c r="G96" s="43"/>
      <c r="H96" s="4">
        <v>32523</v>
      </c>
      <c r="I96" s="4" t="str">
        <f>IFERROR(INDEX('Market Results'!F:$F,MATCH(A96,'Market Results'!$A:A,0)),"-")</f>
        <v>-</v>
      </c>
      <c r="J96" s="44" t="s">
        <v>284</v>
      </c>
      <c r="L96" s="98">
        <f t="shared" si="0"/>
        <v>0.83828849197377342</v>
      </c>
      <c r="M96" s="110">
        <f t="shared" si="2"/>
        <v>0</v>
      </c>
      <c r="O96" s="81" t="str">
        <f t="shared" si="1"/>
        <v>-</v>
      </c>
    </row>
    <row r="97" spans="1:15" x14ac:dyDescent="0.25">
      <c r="A97" s="2" t="s">
        <v>29</v>
      </c>
      <c r="B97" s="2" t="s">
        <v>14</v>
      </c>
      <c r="C97" s="3" t="e">
        <f>AVERAGEIF(#REF!,A97,#REF!)</f>
        <v>#REF!</v>
      </c>
      <c r="D97" s="4">
        <v>17692</v>
      </c>
      <c r="E97" s="4" t="str">
        <f>IFERROR(INDEX('Market Results'!B:$B,MATCH(A97,'Market Results'!$A:A,0)),"-")</f>
        <v>-</v>
      </c>
      <c r="F97" s="43" t="s">
        <v>284</v>
      </c>
      <c r="G97" s="43"/>
      <c r="H97" s="4">
        <v>32523</v>
      </c>
      <c r="I97" s="4" t="str">
        <f>IFERROR(INDEX('Market Results'!F:$F,MATCH(A97,'Market Results'!$A:A,0)),"-")</f>
        <v>-</v>
      </c>
      <c r="J97" s="44" t="s">
        <v>284</v>
      </c>
      <c r="L97" s="98">
        <f t="shared" si="0"/>
        <v>0.83828849197377342</v>
      </c>
      <c r="M97" s="110"/>
      <c r="O97" s="81" t="str">
        <f t="shared" si="1"/>
        <v>-</v>
      </c>
    </row>
    <row r="98" spans="1:15" x14ac:dyDescent="0.25">
      <c r="A98" s="2" t="s">
        <v>32</v>
      </c>
      <c r="B98" s="2" t="s">
        <v>14</v>
      </c>
      <c r="C98" s="3" t="e">
        <f>AVERAGEIF(#REF!,A98,#REF!)</f>
        <v>#REF!</v>
      </c>
      <c r="D98" s="4">
        <v>17692</v>
      </c>
      <c r="E98" s="4" t="str">
        <f>IFERROR(INDEX('Market Results'!B:$B,MATCH(A98,'Market Results'!$A:A,0)),"-")</f>
        <v>-</v>
      </c>
      <c r="F98" s="43" t="s">
        <v>284</v>
      </c>
      <c r="G98" s="43"/>
      <c r="H98" s="4">
        <v>32523</v>
      </c>
      <c r="I98" s="4" t="str">
        <f>IFERROR(INDEX('Market Results'!F:$F,MATCH(A98,'Market Results'!$A:A,0)),"-")</f>
        <v>-</v>
      </c>
      <c r="J98" s="44" t="s">
        <v>284</v>
      </c>
      <c r="L98" s="98">
        <f t="shared" si="0"/>
        <v>0.83828849197377342</v>
      </c>
      <c r="M98" s="110"/>
      <c r="O98" s="81" t="str">
        <f t="shared" si="1"/>
        <v>-</v>
      </c>
    </row>
    <row r="99" spans="1:15" x14ac:dyDescent="0.25">
      <c r="A99" s="2" t="s">
        <v>230</v>
      </c>
      <c r="B99" s="2" t="s">
        <v>14</v>
      </c>
      <c r="C99" s="3" t="e">
        <f>AVERAGEIF(#REF!,A99,#REF!)</f>
        <v>#REF!</v>
      </c>
      <c r="D99" s="4">
        <v>17692</v>
      </c>
      <c r="E99" s="4" t="str">
        <f>IFERROR(INDEX('Market Results'!B:$B,MATCH(A99,'Market Results'!$A:A,0)),"-")</f>
        <v>-</v>
      </c>
      <c r="F99" s="43" t="s">
        <v>284</v>
      </c>
      <c r="G99" s="43"/>
      <c r="H99" s="4">
        <v>32523</v>
      </c>
      <c r="I99" s="4" t="str">
        <f>IFERROR(INDEX('Market Results'!F:$F,MATCH(A99,'Market Results'!$A:A,0)),"-")</f>
        <v>-</v>
      </c>
      <c r="J99" s="44" t="s">
        <v>284</v>
      </c>
      <c r="L99" s="98">
        <f t="shared" si="0"/>
        <v>0.83828849197377342</v>
      </c>
      <c r="M99" s="110"/>
      <c r="O99" s="81" t="str">
        <f t="shared" si="1"/>
        <v>-</v>
      </c>
    </row>
    <row r="100" spans="1:15" x14ac:dyDescent="0.25">
      <c r="A100" s="2" t="s">
        <v>39</v>
      </c>
      <c r="B100" s="2" t="s">
        <v>14</v>
      </c>
      <c r="C100" s="3" t="e">
        <f>AVERAGEIF(#REF!,A100,#REF!)</f>
        <v>#REF!</v>
      </c>
      <c r="D100" s="4">
        <v>17692</v>
      </c>
      <c r="E100" s="4" t="str">
        <f>IFERROR(INDEX('Market Results'!B:$B,MATCH(A100,'Market Results'!$A:A,0)),"-")</f>
        <v>-</v>
      </c>
      <c r="F100" s="43" t="s">
        <v>284</v>
      </c>
      <c r="G100" s="43"/>
      <c r="H100" s="4">
        <v>32523</v>
      </c>
      <c r="I100" s="4" t="str">
        <f>IFERROR(INDEX('Market Results'!F:$F,MATCH(A100,'Market Results'!$A:A,0)),"-")</f>
        <v>-</v>
      </c>
      <c r="J100" s="44" t="s">
        <v>284</v>
      </c>
      <c r="L100" s="98">
        <f t="shared" si="0"/>
        <v>0.83828849197377342</v>
      </c>
      <c r="M100" s="110"/>
      <c r="O100" s="81" t="str">
        <f t="shared" si="1"/>
        <v>-</v>
      </c>
    </row>
    <row r="101" spans="1:15" x14ac:dyDescent="0.25">
      <c r="A101" s="2" t="s">
        <v>101</v>
      </c>
      <c r="B101" s="2" t="s">
        <v>14</v>
      </c>
      <c r="C101" s="3" t="e">
        <f>AVERAGEIF(#REF!,A101,#REF!)</f>
        <v>#REF!</v>
      </c>
      <c r="D101" s="4">
        <v>17692</v>
      </c>
      <c r="E101" s="4" t="str">
        <f>IFERROR(INDEX('Market Results'!B:$B,MATCH(A101,'Market Results'!$A:A,0)),"-")</f>
        <v>-</v>
      </c>
      <c r="F101" s="43" t="s">
        <v>284</v>
      </c>
      <c r="G101" s="43"/>
      <c r="H101" s="4">
        <v>32523</v>
      </c>
      <c r="I101" s="4" t="str">
        <f>IFERROR(INDEX('Market Results'!F:$F,MATCH(A101,'Market Results'!$A:A,0)),"-")</f>
        <v>-</v>
      </c>
      <c r="J101" s="44" t="s">
        <v>284</v>
      </c>
      <c r="L101" s="98">
        <f t="shared" si="0"/>
        <v>0.83828849197377342</v>
      </c>
      <c r="M101" s="110">
        <f t="shared" si="2"/>
        <v>0</v>
      </c>
      <c r="O101" s="81" t="str">
        <f t="shared" si="1"/>
        <v>-</v>
      </c>
    </row>
    <row r="102" spans="1:15" x14ac:dyDescent="0.25">
      <c r="A102" s="2" t="s">
        <v>229</v>
      </c>
      <c r="B102" s="2" t="s">
        <v>14</v>
      </c>
      <c r="C102" s="3" t="e">
        <f>AVERAGEIF(#REF!,A102,#REF!)</f>
        <v>#REF!</v>
      </c>
      <c r="D102" s="4">
        <v>17692</v>
      </c>
      <c r="E102" s="4" t="str">
        <f>IFERROR(INDEX('Market Results'!B:$B,MATCH(A102,'Market Results'!$A:A,0)),"-")</f>
        <v>-</v>
      </c>
      <c r="F102" s="43" t="s">
        <v>284</v>
      </c>
      <c r="G102" s="43"/>
      <c r="H102" s="4">
        <v>32523</v>
      </c>
      <c r="I102" s="4" t="str">
        <f>IFERROR(INDEX('Market Results'!F:$F,MATCH(A102,'Market Results'!$A:A,0)),"-")</f>
        <v>-</v>
      </c>
      <c r="J102" s="44" t="s">
        <v>284</v>
      </c>
      <c r="L102" s="98">
        <f>IFERROR((H102-D102)/D102,"-")</f>
        <v>0.83828849197377342</v>
      </c>
      <c r="M102" s="110"/>
      <c r="O102" s="81" t="str">
        <f t="shared" si="1"/>
        <v>-</v>
      </c>
    </row>
    <row r="103" spans="1:15" x14ac:dyDescent="0.25">
      <c r="A103" s="2" t="s">
        <v>225</v>
      </c>
      <c r="B103" s="2" t="s">
        <v>14</v>
      </c>
      <c r="C103" s="3" t="e">
        <f>AVERAGEIF(#REF!,A103,#REF!)</f>
        <v>#REF!</v>
      </c>
      <c r="D103" s="4">
        <v>17692</v>
      </c>
      <c r="E103" s="4" t="str">
        <f>IFERROR(INDEX('Market Results'!B:$B,MATCH(A103,'Market Results'!$A:A,0)),"-")</f>
        <v>-</v>
      </c>
      <c r="F103" s="43" t="s">
        <v>284</v>
      </c>
      <c r="G103" s="43"/>
      <c r="H103" s="4">
        <v>32523</v>
      </c>
      <c r="I103" s="4" t="str">
        <f>IFERROR(INDEX('Market Results'!F:$F,MATCH(A103,'Market Results'!$A:A,0)),"-")</f>
        <v>-</v>
      </c>
      <c r="J103" s="44" t="s">
        <v>284</v>
      </c>
      <c r="L103" s="98">
        <f t="shared" ref="L103:L108" si="4">IFERROR((H103-D103)/D103,"-")</f>
        <v>0.83828849197377342</v>
      </c>
      <c r="M103" s="110"/>
      <c r="O103" s="81" t="str">
        <f t="shared" si="1"/>
        <v>-</v>
      </c>
    </row>
    <row r="104" spans="1:15" x14ac:dyDescent="0.25">
      <c r="A104" s="2" t="s">
        <v>71</v>
      </c>
      <c r="B104" s="2" t="s">
        <v>71</v>
      </c>
      <c r="C104" s="3" t="e">
        <f>AVERAGEIF(#REF!,A104,#REF!)</f>
        <v>#REF!</v>
      </c>
      <c r="D104" s="4">
        <v>22017</v>
      </c>
      <c r="E104" s="4" t="str">
        <f>IFERROR(INDEX('Market Results'!B:$B,MATCH(A104,'Market Results'!$A:A,0)),"-")</f>
        <v>-</v>
      </c>
      <c r="F104" s="43" t="s">
        <v>284</v>
      </c>
      <c r="G104" s="43"/>
      <c r="H104" s="4">
        <v>36886</v>
      </c>
      <c r="I104" s="4" t="str">
        <f>IFERROR(INDEX('Market Results'!F:$F,MATCH(A104,'Market Results'!$A:A,0)),"-")</f>
        <v>-</v>
      </c>
      <c r="J104" s="44" t="s">
        <v>284</v>
      </c>
      <c r="L104" s="98">
        <f t="shared" si="4"/>
        <v>0.67534178135077438</v>
      </c>
      <c r="M104" s="110"/>
      <c r="O104" s="81" t="str">
        <f t="shared" si="1"/>
        <v>-</v>
      </c>
    </row>
    <row r="105" spans="1:15" x14ac:dyDescent="0.25">
      <c r="A105" s="2" t="s">
        <v>69</v>
      </c>
      <c r="B105" s="2" t="s">
        <v>162</v>
      </c>
      <c r="C105" s="3" t="e">
        <f>AVERAGEIF(#REF!,A105,#REF!)</f>
        <v>#REF!</v>
      </c>
      <c r="D105" s="4">
        <v>42007</v>
      </c>
      <c r="E105" s="4" t="str">
        <f>IFERROR(INDEX('Market Results'!B:$B,MATCH(A105,'Market Results'!$A:A,0)),"-")</f>
        <v>-</v>
      </c>
      <c r="F105" s="43" t="s">
        <v>284</v>
      </c>
      <c r="G105" s="43"/>
      <c r="H105" s="4">
        <v>67026</v>
      </c>
      <c r="I105" s="4" t="str">
        <f>IFERROR(INDEX('Market Results'!F:$F,MATCH(A105,'Market Results'!$A:A,0)),"-")</f>
        <v>-</v>
      </c>
      <c r="J105" s="44" t="s">
        <v>284</v>
      </c>
      <c r="L105" s="98">
        <f t="shared" si="4"/>
        <v>0.59559121098864476</v>
      </c>
      <c r="M105" s="110"/>
      <c r="O105" s="81" t="str">
        <f t="shared" si="1"/>
        <v>-</v>
      </c>
    </row>
    <row r="106" spans="1:15" x14ac:dyDescent="0.25">
      <c r="A106" s="2" t="s">
        <v>97</v>
      </c>
      <c r="B106" s="2" t="s">
        <v>162</v>
      </c>
      <c r="C106" s="3" t="e">
        <f>AVERAGEIF(#REF!,A106,#REF!)</f>
        <v>#REF!</v>
      </c>
      <c r="D106" s="4">
        <v>42007</v>
      </c>
      <c r="E106" s="4" t="str">
        <f>IFERROR(INDEX('Market Results'!B:$B,MATCH(A106,'Market Results'!$A:A,0)),"-")</f>
        <v>-</v>
      </c>
      <c r="F106" s="43" t="s">
        <v>284</v>
      </c>
      <c r="G106" s="43"/>
      <c r="H106" s="4">
        <v>67026</v>
      </c>
      <c r="I106" s="4" t="str">
        <f>IFERROR(INDEX('Market Results'!F:$F,MATCH(A106,'Market Results'!$A:A,0)),"-")</f>
        <v>-</v>
      </c>
      <c r="J106" s="44" t="s">
        <v>284</v>
      </c>
      <c r="L106" s="98">
        <f t="shared" si="4"/>
        <v>0.59559121098864476</v>
      </c>
      <c r="M106" s="110"/>
      <c r="O106" s="81" t="str">
        <f t="shared" si="1"/>
        <v>-</v>
      </c>
    </row>
    <row r="107" spans="1:15" x14ac:dyDescent="0.25">
      <c r="A107" s="2" t="s">
        <v>237</v>
      </c>
      <c r="B107" s="2" t="s">
        <v>162</v>
      </c>
      <c r="C107" s="3" t="e">
        <f>AVERAGEIF(#REF!,A107,#REF!)</f>
        <v>#REF!</v>
      </c>
      <c r="D107" s="4">
        <v>42007</v>
      </c>
      <c r="E107" s="4" t="str">
        <f>IFERROR(INDEX('Market Results'!B:$B,MATCH(A107,'Market Results'!$A:A,0)),"-")</f>
        <v>-</v>
      </c>
      <c r="F107" s="43" t="s">
        <v>284</v>
      </c>
      <c r="G107" s="43"/>
      <c r="H107" s="4">
        <v>67026</v>
      </c>
      <c r="I107" s="4" t="str">
        <f>IFERROR(INDEX('Market Results'!F:$F,MATCH(A107,'Market Results'!$A:A,0)),"-")</f>
        <v>-</v>
      </c>
      <c r="J107" s="44" t="s">
        <v>284</v>
      </c>
      <c r="L107" s="98">
        <f t="shared" si="4"/>
        <v>0.59559121098864476</v>
      </c>
      <c r="M107" s="110"/>
      <c r="O107" s="81" t="str">
        <f t="shared" si="1"/>
        <v>-</v>
      </c>
    </row>
    <row r="108" spans="1:15" x14ac:dyDescent="0.25">
      <c r="A108" s="2" t="s">
        <v>76</v>
      </c>
      <c r="B108" s="2" t="s">
        <v>162</v>
      </c>
      <c r="C108" s="3" t="e">
        <f>AVERAGEIF(#REF!,A108,#REF!)</f>
        <v>#REF!</v>
      </c>
      <c r="D108" s="4">
        <v>42007</v>
      </c>
      <c r="E108" s="4" t="str">
        <f>IFERROR(INDEX('Market Results'!B:$B,MATCH(A108,'Market Results'!$A:A,0)),"-")</f>
        <v>-</v>
      </c>
      <c r="F108" s="43" t="s">
        <v>284</v>
      </c>
      <c r="G108" s="43"/>
      <c r="H108" s="4">
        <v>67026</v>
      </c>
      <c r="I108" s="4" t="str">
        <f>IFERROR(INDEX('Market Results'!F:$F,MATCH(A108,'Market Results'!$A:A,0)),"-")</f>
        <v>-</v>
      </c>
      <c r="J108" s="44" t="s">
        <v>284</v>
      </c>
      <c r="L108" s="98">
        <f t="shared" si="4"/>
        <v>0.59559121098864476</v>
      </c>
      <c r="M108" s="2"/>
      <c r="O108" s="81" t="str">
        <f t="shared" si="1"/>
        <v>-</v>
      </c>
    </row>
    <row r="109" spans="1:15" x14ac:dyDescent="0.25">
      <c r="A109" s="2" t="s">
        <v>49</v>
      </c>
      <c r="B109" s="2" t="s">
        <v>49</v>
      </c>
      <c r="C109" s="3" t="e">
        <f>AVERAGEIF(#REF!,A109,#REF!)</f>
        <v>#REF!</v>
      </c>
      <c r="D109" s="4">
        <v>24198</v>
      </c>
      <c r="E109" s="4" t="str">
        <f>IFERROR(INDEX('Market Results'!B:$B,MATCH(A109,'Market Results'!$A:A,0)),"-")</f>
        <v>-</v>
      </c>
      <c r="F109" s="43" t="s">
        <v>284</v>
      </c>
      <c r="G109" s="43"/>
      <c r="H109" s="4">
        <v>48396</v>
      </c>
      <c r="I109" s="4" t="str">
        <f>IFERROR(INDEX('Market Results'!F:$F,MATCH(A109,'Market Results'!$A:A,0)),"-")</f>
        <v>-</v>
      </c>
      <c r="J109" s="44" t="s">
        <v>284</v>
      </c>
      <c r="L109" s="98">
        <f>IFERROR((H109-D109)/D109,"-")</f>
        <v>1</v>
      </c>
      <c r="M109" s="2"/>
      <c r="O109" s="81" t="str">
        <f t="shared" si="1"/>
        <v>-</v>
      </c>
    </row>
    <row r="110" spans="1:15" ht="15.75" thickBot="1" x14ac:dyDescent="0.3">
      <c r="A110" s="38" t="s">
        <v>254</v>
      </c>
      <c r="B110" s="90"/>
      <c r="C110" s="91"/>
      <c r="D110" s="92"/>
      <c r="E110" s="92">
        <f>AVERAGE(E48:E109)</f>
        <v>29056.803658047673</v>
      </c>
      <c r="F110" s="93">
        <v>-6.3244720006735422E-2</v>
      </c>
      <c r="G110" s="93"/>
      <c r="H110" s="92">
        <v>47476.629629629628</v>
      </c>
      <c r="I110" s="92">
        <v>47850.784788083569</v>
      </c>
      <c r="J110" s="94">
        <v>-2.0463379187546978E-2</v>
      </c>
      <c r="L110" s="42">
        <f>AVERAGE(L48:L109)</f>
        <v>0.78874209748335133</v>
      </c>
      <c r="M110" s="94" t="e">
        <f>+AVERAGE(M48:M109)</f>
        <v>#VALUE!</v>
      </c>
      <c r="O110" s="89" t="e">
        <f>AVERAGE(O48:O109)</f>
        <v>#DIV/0!</v>
      </c>
    </row>
    <row r="111" spans="1:15" x14ac:dyDescent="0.25">
      <c r="E111"/>
    </row>
    <row r="112" spans="1:15" x14ac:dyDescent="0.25">
      <c r="E112"/>
    </row>
    <row r="113" spans="1:41" ht="15.75" thickBot="1" x14ac:dyDescent="0.3">
      <c r="E113"/>
    </row>
    <row r="114" spans="1:41" x14ac:dyDescent="0.25">
      <c r="A114" s="67" t="s">
        <v>279</v>
      </c>
      <c r="B114" s="66">
        <v>0</v>
      </c>
      <c r="C114" s="66">
        <v>1</v>
      </c>
      <c r="D114" s="66">
        <v>2</v>
      </c>
      <c r="E114" s="66">
        <v>3</v>
      </c>
      <c r="F114" s="66">
        <v>4</v>
      </c>
      <c r="G114" s="66">
        <v>5</v>
      </c>
      <c r="H114" s="66"/>
      <c r="I114" s="66">
        <v>6</v>
      </c>
      <c r="J114" s="66">
        <v>7</v>
      </c>
      <c r="K114" s="66">
        <v>8</v>
      </c>
      <c r="L114" s="66">
        <v>9</v>
      </c>
      <c r="M114" s="66">
        <v>10</v>
      </c>
      <c r="N114" s="66">
        <v>11</v>
      </c>
      <c r="O114" s="66">
        <v>12</v>
      </c>
      <c r="P114" s="66">
        <v>13</v>
      </c>
      <c r="Q114" s="66">
        <v>14</v>
      </c>
      <c r="R114" s="66">
        <v>15</v>
      </c>
      <c r="S114" s="66">
        <v>16</v>
      </c>
      <c r="T114" s="66">
        <v>17</v>
      </c>
      <c r="U114" s="66">
        <v>18</v>
      </c>
      <c r="V114" s="66">
        <v>19</v>
      </c>
      <c r="W114" s="66">
        <v>20</v>
      </c>
      <c r="X114" s="66">
        <v>21</v>
      </c>
      <c r="Y114" s="66">
        <v>22</v>
      </c>
      <c r="Z114" s="66">
        <v>23</v>
      </c>
      <c r="AA114" s="66">
        <v>24</v>
      </c>
      <c r="AB114" s="66">
        <v>25</v>
      </c>
      <c r="AC114" s="66">
        <v>26</v>
      </c>
      <c r="AD114" s="66">
        <v>27</v>
      </c>
      <c r="AE114" s="66">
        <v>28</v>
      </c>
      <c r="AF114" s="66">
        <v>29</v>
      </c>
      <c r="AG114" s="66">
        <v>30</v>
      </c>
      <c r="AH114" s="66">
        <v>31</v>
      </c>
      <c r="AI114" s="66">
        <v>32</v>
      </c>
      <c r="AJ114" s="66">
        <v>33</v>
      </c>
      <c r="AK114" s="66">
        <v>34</v>
      </c>
      <c r="AL114" s="66">
        <v>35</v>
      </c>
      <c r="AM114" s="66">
        <v>36</v>
      </c>
    </row>
    <row r="115" spans="1:41" x14ac:dyDescent="0.25">
      <c r="A115" s="30" t="s">
        <v>155</v>
      </c>
      <c r="B115" s="33" t="e">
        <f>INDEX(#REF!,MATCH($A115,#REF!,0))</f>
        <v>#REF!</v>
      </c>
      <c r="C115" s="33" t="e">
        <f>INDEX(#REF!,MATCH($A115,#REF!,0))</f>
        <v>#REF!</v>
      </c>
      <c r="D115" s="33" t="e">
        <f>INDEX(#REF!,MATCH($A115,#REF!,0))</f>
        <v>#REF!</v>
      </c>
      <c r="E115" s="33" t="e">
        <f>INDEX(#REF!,MATCH($A115,#REF!,0))</f>
        <v>#REF!</v>
      </c>
      <c r="F115" s="33" t="e">
        <f>INDEX(#REF!,MATCH($A115,#REF!,0))</f>
        <v>#REF!</v>
      </c>
      <c r="G115" s="33" t="e">
        <f>INDEX(#REF!,MATCH($A115,#REF!,0))</f>
        <v>#REF!</v>
      </c>
      <c r="H115" s="33" t="e">
        <f>INDEX(#REF!,MATCH($A115,#REF!,0))</f>
        <v>#REF!</v>
      </c>
      <c r="I115" s="33" t="e">
        <f>INDEX(#REF!,MATCH($A115,#REF!,0))</f>
        <v>#REF!</v>
      </c>
      <c r="J115" s="33" t="e">
        <f>INDEX(#REF!,MATCH($A115,#REF!,0))</f>
        <v>#REF!</v>
      </c>
      <c r="K115" s="33" t="e">
        <f>INDEX(#REF!,MATCH($A115,#REF!,0))</f>
        <v>#REF!</v>
      </c>
      <c r="L115" s="33" t="e">
        <f>INDEX(#REF!,MATCH($A115,#REF!,0))</f>
        <v>#REF!</v>
      </c>
      <c r="M115" s="33" t="e">
        <f>INDEX(#REF!,MATCH($A115,#REF!,0))</f>
        <v>#REF!</v>
      </c>
      <c r="N115" s="33" t="e">
        <f>INDEX(#REF!,MATCH($A115,#REF!,0))</f>
        <v>#REF!</v>
      </c>
      <c r="O115" s="33" t="e">
        <f>INDEX(#REF!,MATCH($A115,#REF!,0))</f>
        <v>#REF!</v>
      </c>
      <c r="P115" s="33" t="e">
        <f>INDEX(#REF!,MATCH($A115,#REF!,0))</f>
        <v>#REF!</v>
      </c>
      <c r="Q115" s="33" t="e">
        <f>INDEX(#REF!,MATCH($A115,#REF!,0))</f>
        <v>#REF!</v>
      </c>
      <c r="R115" s="33" t="e">
        <f>INDEX(#REF!,MATCH($A115,#REF!,0))</f>
        <v>#REF!</v>
      </c>
      <c r="S115" s="33" t="e">
        <f>INDEX(#REF!,MATCH($A115,#REF!,0))</f>
        <v>#REF!</v>
      </c>
      <c r="T115" s="33" t="e">
        <f>INDEX(#REF!,MATCH($A115,#REF!,0))</f>
        <v>#REF!</v>
      </c>
      <c r="U115" s="33" t="e">
        <f>INDEX(#REF!,MATCH($A115,#REF!,0))</f>
        <v>#REF!</v>
      </c>
      <c r="V115" s="33" t="e">
        <f>INDEX(#REF!,MATCH($A115,#REF!,0))</f>
        <v>#REF!</v>
      </c>
      <c r="W115" s="33" t="e">
        <f>INDEX(#REF!,MATCH($A115,#REF!,0))</f>
        <v>#REF!</v>
      </c>
      <c r="X115" s="33" t="e">
        <f>INDEX(#REF!,MATCH($A115,#REF!,0))</f>
        <v>#REF!</v>
      </c>
      <c r="Y115" s="33" t="e">
        <f>INDEX(#REF!,MATCH($A115,#REF!,0))</f>
        <v>#REF!</v>
      </c>
      <c r="Z115" s="33" t="e">
        <f>INDEX(#REF!,MATCH($A115,#REF!,0))</f>
        <v>#REF!</v>
      </c>
      <c r="AA115" s="33" t="e">
        <f>INDEX(#REF!,MATCH($A115,#REF!,0))</f>
        <v>#REF!</v>
      </c>
      <c r="AB115" s="33"/>
      <c r="AC115" s="33"/>
      <c r="AD115" s="33"/>
      <c r="AE115" s="33"/>
      <c r="AF115" s="33"/>
      <c r="AG115" s="33"/>
      <c r="AH115" s="33"/>
      <c r="AI115" s="33"/>
      <c r="AJ115" s="33"/>
      <c r="AK115" s="33"/>
      <c r="AL115" s="33"/>
      <c r="AM115" s="26"/>
    </row>
    <row r="116" spans="1:41" x14ac:dyDescent="0.25">
      <c r="A116" s="30" t="s">
        <v>14</v>
      </c>
      <c r="B116" s="33" t="e">
        <f>INDEX(#REF!,MATCH($A116,#REF!,0))</f>
        <v>#REF!</v>
      </c>
      <c r="C116" s="33" t="e">
        <f>INDEX(#REF!,MATCH($A116,#REF!,0))</f>
        <v>#REF!</v>
      </c>
      <c r="D116" s="33" t="e">
        <f>INDEX(#REF!,MATCH($A116,#REF!,0))</f>
        <v>#REF!</v>
      </c>
      <c r="E116" s="33" t="e">
        <f>INDEX(#REF!,MATCH($A116,#REF!,0))</f>
        <v>#REF!</v>
      </c>
      <c r="F116" s="33" t="e">
        <f>INDEX(#REF!,MATCH($A116,#REF!,0))</f>
        <v>#REF!</v>
      </c>
      <c r="G116" s="33" t="e">
        <f>INDEX(#REF!,MATCH($A116,#REF!,0))</f>
        <v>#REF!</v>
      </c>
      <c r="H116" s="33" t="e">
        <f>INDEX(#REF!,MATCH($A116,#REF!,0))</f>
        <v>#REF!</v>
      </c>
      <c r="I116" s="33" t="e">
        <f>INDEX(#REF!,MATCH($A116,#REF!,0))</f>
        <v>#REF!</v>
      </c>
      <c r="J116" s="33" t="e">
        <f>INDEX(#REF!,MATCH($A116,#REF!,0))</f>
        <v>#REF!</v>
      </c>
      <c r="K116" s="33" t="e">
        <f>INDEX(#REF!,MATCH($A116,#REF!,0))</f>
        <v>#REF!</v>
      </c>
      <c r="L116" s="33" t="e">
        <f>INDEX(#REF!,MATCH($A116,#REF!,0))</f>
        <v>#REF!</v>
      </c>
      <c r="M116" s="33" t="e">
        <f>INDEX(#REF!,MATCH($A116,#REF!,0))</f>
        <v>#REF!</v>
      </c>
      <c r="N116" s="33" t="e">
        <f>INDEX(#REF!,MATCH($A116,#REF!,0))</f>
        <v>#REF!</v>
      </c>
      <c r="O116" s="33" t="e">
        <f>INDEX(#REF!,MATCH($A116,#REF!,0))</f>
        <v>#REF!</v>
      </c>
      <c r="P116" s="33" t="e">
        <f>INDEX(#REF!,MATCH($A116,#REF!,0))</f>
        <v>#REF!</v>
      </c>
      <c r="Q116" s="33" t="e">
        <f>INDEX(#REF!,MATCH($A116,#REF!,0))</f>
        <v>#REF!</v>
      </c>
      <c r="R116" s="33" t="e">
        <f>INDEX(#REF!,MATCH($A116,#REF!,0))</f>
        <v>#REF!</v>
      </c>
      <c r="S116" s="33" t="e">
        <f>INDEX(#REF!,MATCH($A116,#REF!,0))</f>
        <v>#REF!</v>
      </c>
      <c r="T116" s="33" t="e">
        <f>INDEX(#REF!,MATCH($A116,#REF!,0))</f>
        <v>#REF!</v>
      </c>
      <c r="U116" s="33" t="e">
        <f>INDEX(#REF!,MATCH($A116,#REF!,0))</f>
        <v>#REF!</v>
      </c>
      <c r="V116" s="33" t="e">
        <f>INDEX(#REF!,MATCH($A116,#REF!,0))</f>
        <v>#REF!</v>
      </c>
      <c r="W116" s="33" t="e">
        <f>INDEX(#REF!,MATCH($A116,#REF!,0))</f>
        <v>#REF!</v>
      </c>
      <c r="X116" s="33" t="e">
        <f>INDEX(#REF!,MATCH($A116,#REF!,0))</f>
        <v>#REF!</v>
      </c>
      <c r="Y116" s="33" t="e">
        <f>INDEX(#REF!,MATCH($A116,#REF!,0))</f>
        <v>#REF!</v>
      </c>
      <c r="Z116" s="33" t="e">
        <f>INDEX(#REF!,MATCH($A116,#REF!,0))</f>
        <v>#REF!</v>
      </c>
      <c r="AA116" s="33" t="e">
        <f>INDEX(#REF!,MATCH($A116,#REF!,0))</f>
        <v>#REF!</v>
      </c>
      <c r="AB116" s="33" t="e">
        <f>INDEX(#REF!,MATCH($A116,#REF!,0))</f>
        <v>#REF!</v>
      </c>
      <c r="AC116" s="33" t="e">
        <f>INDEX(#REF!,MATCH($A116,#REF!,0))</f>
        <v>#REF!</v>
      </c>
      <c r="AD116" s="33" t="e">
        <f>INDEX(#REF!,MATCH($A116,#REF!,0))</f>
        <v>#REF!</v>
      </c>
      <c r="AE116" s="33" t="e">
        <f>INDEX(#REF!,MATCH($A116,#REF!,0))</f>
        <v>#REF!</v>
      </c>
      <c r="AF116" s="33" t="e">
        <f>INDEX(#REF!,MATCH($A116,#REF!,0))</f>
        <v>#REF!</v>
      </c>
      <c r="AG116" s="33" t="e">
        <f>INDEX(#REF!,MATCH($A116,#REF!,0))</f>
        <v>#REF!</v>
      </c>
      <c r="AH116" s="33" t="e">
        <f>INDEX(#REF!,MATCH($A116,#REF!,0))</f>
        <v>#REF!</v>
      </c>
      <c r="AI116" s="33" t="e">
        <f>INDEX(#REF!,MATCH($A116,#REF!,0))</f>
        <v>#REF!</v>
      </c>
      <c r="AJ116" s="33" t="e">
        <f>INDEX(#REF!,MATCH($A116,#REF!,0))</f>
        <v>#REF!</v>
      </c>
      <c r="AK116" s="33" t="e">
        <f>INDEX(#REF!,MATCH($A116,#REF!,0))</f>
        <v>#REF!</v>
      </c>
      <c r="AL116" s="33" t="e">
        <f>INDEX(#REF!,MATCH($A116,#REF!,0))</f>
        <v>#REF!</v>
      </c>
      <c r="AM116" s="33"/>
    </row>
    <row r="117" spans="1:41" x14ac:dyDescent="0.25">
      <c r="A117" s="30" t="s">
        <v>156</v>
      </c>
      <c r="B117" s="33" t="e">
        <f>INDEX(#REF!,MATCH($A117,#REF!,0))</f>
        <v>#REF!</v>
      </c>
      <c r="C117" s="33" t="e">
        <f>INDEX(#REF!,MATCH($A117,#REF!,0))</f>
        <v>#REF!</v>
      </c>
      <c r="D117" s="33" t="e">
        <f>INDEX(#REF!,MATCH($A117,#REF!,0))</f>
        <v>#REF!</v>
      </c>
      <c r="E117" s="33" t="e">
        <f>INDEX(#REF!,MATCH($A117,#REF!,0))</f>
        <v>#REF!</v>
      </c>
      <c r="F117" s="33" t="e">
        <f>INDEX(#REF!,MATCH($A117,#REF!,0))</f>
        <v>#REF!</v>
      </c>
      <c r="G117" s="33" t="e">
        <f>INDEX(#REF!,MATCH($A117,#REF!,0))</f>
        <v>#REF!</v>
      </c>
      <c r="H117" s="33" t="e">
        <f>INDEX(#REF!,MATCH($A117,#REF!,0))</f>
        <v>#REF!</v>
      </c>
      <c r="I117" s="33" t="e">
        <f>INDEX(#REF!,MATCH($A117,#REF!,0))</f>
        <v>#REF!</v>
      </c>
      <c r="J117" s="33" t="e">
        <f>INDEX(#REF!,MATCH($A117,#REF!,0))</f>
        <v>#REF!</v>
      </c>
      <c r="K117" s="33" t="e">
        <f>INDEX(#REF!,MATCH($A117,#REF!,0))</f>
        <v>#REF!</v>
      </c>
      <c r="L117" s="33" t="e">
        <f>INDEX(#REF!,MATCH($A117,#REF!,0))</f>
        <v>#REF!</v>
      </c>
      <c r="M117" s="33" t="e">
        <f>INDEX(#REF!,MATCH($A117,#REF!,0))</f>
        <v>#REF!</v>
      </c>
      <c r="N117" s="33" t="e">
        <f>INDEX(#REF!,MATCH($A117,#REF!,0))</f>
        <v>#REF!</v>
      </c>
      <c r="O117" s="33" t="e">
        <f>INDEX(#REF!,MATCH($A117,#REF!,0))</f>
        <v>#REF!</v>
      </c>
      <c r="P117" s="33" t="e">
        <f>INDEX(#REF!,MATCH($A117,#REF!,0))</f>
        <v>#REF!</v>
      </c>
      <c r="Q117" s="33" t="e">
        <f>INDEX(#REF!,MATCH($A117,#REF!,0))</f>
        <v>#REF!</v>
      </c>
      <c r="R117" s="33" t="e">
        <f>INDEX(#REF!,MATCH($A117,#REF!,0))</f>
        <v>#REF!</v>
      </c>
      <c r="S117" s="33" t="e">
        <f>INDEX(#REF!,MATCH($A117,#REF!,0))</f>
        <v>#REF!</v>
      </c>
      <c r="T117" s="33" t="e">
        <f>INDEX(#REF!,MATCH($A117,#REF!,0))</f>
        <v>#REF!</v>
      </c>
      <c r="U117" s="33" t="e">
        <f>INDEX(#REF!,MATCH($A117,#REF!,0))</f>
        <v>#REF!</v>
      </c>
      <c r="V117" s="33" t="e">
        <f>INDEX(#REF!,MATCH($A117,#REF!,0))</f>
        <v>#REF!</v>
      </c>
      <c r="W117" s="33" t="e">
        <f>INDEX(#REF!,MATCH($A117,#REF!,0))</f>
        <v>#REF!</v>
      </c>
      <c r="X117" s="33" t="e">
        <f>INDEX(#REF!,MATCH($A117,#REF!,0))</f>
        <v>#REF!</v>
      </c>
      <c r="Y117" s="33" t="e">
        <f>INDEX(#REF!,MATCH($A117,#REF!,0))</f>
        <v>#REF!</v>
      </c>
      <c r="Z117" s="33" t="e">
        <f>INDEX(#REF!,MATCH($A117,#REF!,0))</f>
        <v>#REF!</v>
      </c>
      <c r="AA117" s="33" t="e">
        <f>INDEX(#REF!,MATCH($A117,#REF!,0))</f>
        <v>#REF!</v>
      </c>
      <c r="AB117" s="33" t="e">
        <f>INDEX(#REF!,MATCH($A117,#REF!,0))</f>
        <v>#REF!</v>
      </c>
      <c r="AC117" s="33" t="e">
        <f>INDEX(#REF!,MATCH($A117,#REF!,0))</f>
        <v>#REF!</v>
      </c>
      <c r="AD117" s="33" t="e">
        <f>INDEX(#REF!,MATCH($A117,#REF!,0))</f>
        <v>#REF!</v>
      </c>
      <c r="AE117" s="33" t="e">
        <f>INDEX(#REF!,MATCH($A117,#REF!,0))</f>
        <v>#REF!</v>
      </c>
      <c r="AF117" s="33" t="e">
        <f>INDEX(#REF!,MATCH($A117,#REF!,0))</f>
        <v>#REF!</v>
      </c>
      <c r="AG117" s="33"/>
      <c r="AH117" s="33"/>
      <c r="AI117" s="33"/>
      <c r="AJ117" s="33"/>
      <c r="AK117" s="33"/>
      <c r="AL117" s="33"/>
      <c r="AM117" s="26"/>
    </row>
    <row r="118" spans="1:41" x14ac:dyDescent="0.25">
      <c r="A118" s="30" t="s">
        <v>71</v>
      </c>
      <c r="B118" s="33" t="e">
        <f>INDEX(#REF!,MATCH($A118,#REF!,0))</f>
        <v>#REF!</v>
      </c>
      <c r="C118" s="33" t="e">
        <f>INDEX(#REF!,MATCH($A118,#REF!,0))</f>
        <v>#REF!</v>
      </c>
      <c r="D118" s="33" t="e">
        <f>INDEX(#REF!,MATCH($A118,#REF!,0))</f>
        <v>#REF!</v>
      </c>
      <c r="E118" s="33" t="e">
        <f>INDEX(#REF!,MATCH($A118,#REF!,0))</f>
        <v>#REF!</v>
      </c>
      <c r="F118" s="33" t="e">
        <f>INDEX(#REF!,MATCH($A118,#REF!,0))</f>
        <v>#REF!</v>
      </c>
      <c r="G118" s="33" t="e">
        <f>INDEX(#REF!,MATCH($A118,#REF!,0))</f>
        <v>#REF!</v>
      </c>
      <c r="H118" s="33" t="e">
        <f>INDEX(#REF!,MATCH($A118,#REF!,0))</f>
        <v>#REF!</v>
      </c>
      <c r="I118" s="33" t="e">
        <f>INDEX(#REF!,MATCH($A118,#REF!,0))</f>
        <v>#REF!</v>
      </c>
      <c r="J118" s="33" t="e">
        <f>INDEX(#REF!,MATCH($A118,#REF!,0))</f>
        <v>#REF!</v>
      </c>
      <c r="K118" s="33" t="e">
        <f>INDEX(#REF!,MATCH($A118,#REF!,0))</f>
        <v>#REF!</v>
      </c>
      <c r="L118" s="33" t="e">
        <f>INDEX(#REF!,MATCH($A118,#REF!,0))</f>
        <v>#REF!</v>
      </c>
      <c r="M118" s="33" t="e">
        <f>INDEX(#REF!,MATCH($A118,#REF!,0))</f>
        <v>#REF!</v>
      </c>
      <c r="N118" s="33" t="e">
        <f>INDEX(#REF!,MATCH($A118,#REF!,0))</f>
        <v>#REF!</v>
      </c>
      <c r="O118" s="33" t="e">
        <f>INDEX(#REF!,MATCH($A118,#REF!,0))</f>
        <v>#REF!</v>
      </c>
      <c r="P118" s="33" t="e">
        <f>INDEX(#REF!,MATCH($A118,#REF!,0))</f>
        <v>#REF!</v>
      </c>
      <c r="Q118" s="33" t="e">
        <f>INDEX(#REF!,MATCH($A118,#REF!,0))</f>
        <v>#REF!</v>
      </c>
      <c r="R118" s="33" t="e">
        <f>INDEX(#REF!,MATCH($A118,#REF!,0))</f>
        <v>#REF!</v>
      </c>
      <c r="S118" s="33" t="e">
        <f>INDEX(#REF!,MATCH($A118,#REF!,0))</f>
        <v>#REF!</v>
      </c>
      <c r="T118" s="33" t="e">
        <f>INDEX(#REF!,MATCH($A118,#REF!,0))</f>
        <v>#REF!</v>
      </c>
      <c r="U118" s="33" t="e">
        <f>INDEX(#REF!,MATCH($A118,#REF!,0))</f>
        <v>#REF!</v>
      </c>
      <c r="V118" s="33" t="e">
        <f>INDEX(#REF!,MATCH($A118,#REF!,0))</f>
        <v>#REF!</v>
      </c>
      <c r="W118" s="33" t="e">
        <f>INDEX(#REF!,MATCH($A118,#REF!,0))</f>
        <v>#REF!</v>
      </c>
      <c r="X118" s="33" t="e">
        <f>INDEX(#REF!,MATCH($A118,#REF!,0))</f>
        <v>#REF!</v>
      </c>
      <c r="Y118" s="33" t="e">
        <f>INDEX(#REF!,MATCH($A118,#REF!,0))</f>
        <v>#REF!</v>
      </c>
      <c r="Z118" s="33" t="e">
        <f>INDEX(#REF!,MATCH($A118,#REF!,0))</f>
        <v>#REF!</v>
      </c>
      <c r="AA118" s="33" t="e">
        <f>INDEX(#REF!,MATCH($A118,#REF!,0))</f>
        <v>#REF!</v>
      </c>
      <c r="AB118" s="33" t="e">
        <f>INDEX(#REF!,MATCH($A118,#REF!,0))</f>
        <v>#REF!</v>
      </c>
      <c r="AC118" s="33" t="e">
        <f>INDEX(#REF!,MATCH($A118,#REF!,0))</f>
        <v>#REF!</v>
      </c>
      <c r="AD118" s="33" t="e">
        <f>INDEX(#REF!,MATCH($A118,#REF!,0))</f>
        <v>#REF!</v>
      </c>
      <c r="AE118" s="33" t="e">
        <f>INDEX(#REF!,MATCH($A118,#REF!,0))</f>
        <v>#REF!</v>
      </c>
      <c r="AF118" s="33" t="e">
        <f>INDEX(#REF!,MATCH($A118,#REF!,0))</f>
        <v>#REF!</v>
      </c>
      <c r="AG118" s="33"/>
      <c r="AH118" s="33"/>
      <c r="AI118" s="33"/>
      <c r="AJ118" s="33"/>
      <c r="AK118" s="33"/>
      <c r="AL118" s="33"/>
      <c r="AM118" s="26"/>
    </row>
    <row r="119" spans="1:41" x14ac:dyDescent="0.25">
      <c r="A119" s="30" t="s">
        <v>55</v>
      </c>
      <c r="B119" s="33" t="e">
        <f>INDEX(#REF!,MATCH($A119,#REF!,0))</f>
        <v>#REF!</v>
      </c>
      <c r="C119" s="33" t="e">
        <f>INDEX(#REF!,MATCH($A119,#REF!,0))</f>
        <v>#REF!</v>
      </c>
      <c r="D119" s="33" t="e">
        <f>INDEX(#REF!,MATCH($A119,#REF!,0))</f>
        <v>#REF!</v>
      </c>
      <c r="E119" s="33" t="e">
        <f>INDEX(#REF!,MATCH($A119,#REF!,0))</f>
        <v>#REF!</v>
      </c>
      <c r="F119" s="33" t="e">
        <f>INDEX(#REF!,MATCH($A119,#REF!,0))</f>
        <v>#REF!</v>
      </c>
      <c r="G119" s="33" t="e">
        <f>INDEX(#REF!,MATCH($A119,#REF!,0))</f>
        <v>#REF!</v>
      </c>
      <c r="H119" s="33" t="e">
        <f>INDEX(#REF!,MATCH($A119,#REF!,0))</f>
        <v>#REF!</v>
      </c>
      <c r="I119" s="33" t="e">
        <f>INDEX(#REF!,MATCH($A119,#REF!,0))</f>
        <v>#REF!</v>
      </c>
      <c r="J119" s="33" t="e">
        <f>INDEX(#REF!,MATCH($A119,#REF!,0))</f>
        <v>#REF!</v>
      </c>
      <c r="K119" s="33" t="e">
        <f>INDEX(#REF!,MATCH($A119,#REF!,0))</f>
        <v>#REF!</v>
      </c>
      <c r="L119" s="33" t="e">
        <f>INDEX(#REF!,MATCH($A119,#REF!,0))</f>
        <v>#REF!</v>
      </c>
      <c r="M119" s="33" t="e">
        <f>INDEX(#REF!,MATCH($A119,#REF!,0))</f>
        <v>#REF!</v>
      </c>
      <c r="N119" s="33" t="e">
        <f>INDEX(#REF!,MATCH($A119,#REF!,0))</f>
        <v>#REF!</v>
      </c>
      <c r="O119" s="33" t="e">
        <f>INDEX(#REF!,MATCH($A119,#REF!,0))</f>
        <v>#REF!</v>
      </c>
      <c r="P119" s="33" t="e">
        <f>INDEX(#REF!,MATCH($A119,#REF!,0))</f>
        <v>#REF!</v>
      </c>
      <c r="Q119" s="33" t="e">
        <f>INDEX(#REF!,MATCH($A119,#REF!,0))</f>
        <v>#REF!</v>
      </c>
      <c r="R119" s="33" t="e">
        <f>INDEX(#REF!,MATCH($A119,#REF!,0))</f>
        <v>#REF!</v>
      </c>
      <c r="S119" s="33" t="e">
        <f>INDEX(#REF!,MATCH($A119,#REF!,0))</f>
        <v>#REF!</v>
      </c>
      <c r="T119" s="33" t="e">
        <f>INDEX(#REF!,MATCH($A119,#REF!,0))</f>
        <v>#REF!</v>
      </c>
      <c r="U119" s="33" t="e">
        <f>INDEX(#REF!,MATCH($A119,#REF!,0))</f>
        <v>#REF!</v>
      </c>
      <c r="V119" s="33" t="e">
        <f>INDEX(#REF!,MATCH($A119,#REF!,0))</f>
        <v>#REF!</v>
      </c>
      <c r="W119" s="33" t="e">
        <f>INDEX(#REF!,MATCH($A119,#REF!,0))</f>
        <v>#REF!</v>
      </c>
      <c r="X119" s="33" t="e">
        <f>INDEX(#REF!,MATCH($A119,#REF!,0))</f>
        <v>#REF!</v>
      </c>
      <c r="Y119" s="33" t="e">
        <f>INDEX(#REF!,MATCH($A119,#REF!,0))</f>
        <v>#REF!</v>
      </c>
      <c r="Z119" s="33" t="e">
        <f>INDEX(#REF!,MATCH($A119,#REF!,0))</f>
        <v>#REF!</v>
      </c>
      <c r="AA119" s="33" t="e">
        <f>INDEX(#REF!,MATCH($A119,#REF!,0))</f>
        <v>#REF!</v>
      </c>
      <c r="AB119" s="33" t="e">
        <f>INDEX(#REF!,MATCH($A119,#REF!,0))</f>
        <v>#REF!</v>
      </c>
      <c r="AC119" s="33" t="e">
        <f>INDEX(#REF!,MATCH($A119,#REF!,0))</f>
        <v>#REF!</v>
      </c>
      <c r="AD119" s="33" t="e">
        <f>INDEX(#REF!,MATCH($A119,#REF!,0))</f>
        <v>#REF!</v>
      </c>
      <c r="AE119" s="33" t="e">
        <f>INDEX(#REF!,MATCH($A119,#REF!,0))</f>
        <v>#REF!</v>
      </c>
      <c r="AF119" s="33" t="e">
        <f>INDEX(#REF!,MATCH($A119,#REF!,0))</f>
        <v>#REF!</v>
      </c>
      <c r="AG119" s="33" t="e">
        <f>INDEX(#REF!,MATCH($A119,#REF!,0))</f>
        <v>#REF!</v>
      </c>
      <c r="AH119" s="33" t="e">
        <f>INDEX(#REF!,MATCH($A119,#REF!,0))</f>
        <v>#REF!</v>
      </c>
      <c r="AI119" s="33" t="e">
        <f>INDEX(#REF!,MATCH($A119,#REF!,0))</f>
        <v>#REF!</v>
      </c>
      <c r="AJ119" s="33" t="e">
        <f>INDEX(#REF!,MATCH($A119,#REF!,0))</f>
        <v>#REF!</v>
      </c>
      <c r="AK119" s="33" t="e">
        <f>INDEX(#REF!,MATCH($A119,#REF!,0))</f>
        <v>#REF!</v>
      </c>
      <c r="AL119" s="33"/>
      <c r="AM119" s="26"/>
    </row>
    <row r="120" spans="1:41" x14ac:dyDescent="0.25">
      <c r="A120" s="30" t="s">
        <v>158</v>
      </c>
      <c r="B120" s="33" t="e">
        <f>INDEX(#REF!,MATCH($A120,#REF!,0))</f>
        <v>#REF!</v>
      </c>
      <c r="C120" s="33" t="e">
        <f>INDEX(#REF!,MATCH($A120,#REF!,0))</f>
        <v>#REF!</v>
      </c>
      <c r="D120" s="33" t="e">
        <f>INDEX(#REF!,MATCH($A120,#REF!,0))</f>
        <v>#REF!</v>
      </c>
      <c r="E120" s="33" t="e">
        <f>INDEX(#REF!,MATCH($A120,#REF!,0))</f>
        <v>#REF!</v>
      </c>
      <c r="F120" s="33" t="e">
        <f>INDEX(#REF!,MATCH($A120,#REF!,0))</f>
        <v>#REF!</v>
      </c>
      <c r="G120" s="33" t="e">
        <f>INDEX(#REF!,MATCH($A120,#REF!,0))</f>
        <v>#REF!</v>
      </c>
      <c r="H120" s="33" t="e">
        <f>INDEX(#REF!,MATCH($A120,#REF!,0))</f>
        <v>#REF!</v>
      </c>
      <c r="I120" s="33" t="e">
        <f>INDEX(#REF!,MATCH($A120,#REF!,0))</f>
        <v>#REF!</v>
      </c>
      <c r="J120" s="33" t="e">
        <f>INDEX(#REF!,MATCH($A120,#REF!,0))</f>
        <v>#REF!</v>
      </c>
      <c r="K120" s="33" t="e">
        <f>INDEX(#REF!,MATCH($A120,#REF!,0))</f>
        <v>#REF!</v>
      </c>
      <c r="L120" s="33" t="e">
        <f>INDEX(#REF!,MATCH($A120,#REF!,0))</f>
        <v>#REF!</v>
      </c>
      <c r="M120" s="33" t="e">
        <f>INDEX(#REF!,MATCH($A120,#REF!,0))</f>
        <v>#REF!</v>
      </c>
      <c r="N120" s="33" t="e">
        <f>INDEX(#REF!,MATCH($A120,#REF!,0))</f>
        <v>#REF!</v>
      </c>
      <c r="O120" s="33" t="e">
        <f>INDEX(#REF!,MATCH($A120,#REF!,0))</f>
        <v>#REF!</v>
      </c>
      <c r="P120" s="33" t="e">
        <f>INDEX(#REF!,MATCH($A120,#REF!,0))</f>
        <v>#REF!</v>
      </c>
      <c r="Q120" s="33" t="e">
        <f>INDEX(#REF!,MATCH($A120,#REF!,0))</f>
        <v>#REF!</v>
      </c>
      <c r="R120" s="33" t="e">
        <f>INDEX(#REF!,MATCH($A120,#REF!,0))</f>
        <v>#REF!</v>
      </c>
      <c r="S120" s="33" t="e">
        <f>INDEX(#REF!,MATCH($A120,#REF!,0))</f>
        <v>#REF!</v>
      </c>
      <c r="T120" s="33" t="e">
        <f>INDEX(#REF!,MATCH($A120,#REF!,0))</f>
        <v>#REF!</v>
      </c>
      <c r="U120" s="33" t="e">
        <f>INDEX(#REF!,MATCH($A120,#REF!,0))</f>
        <v>#REF!</v>
      </c>
      <c r="V120" s="33" t="e">
        <f>INDEX(#REF!,MATCH($A120,#REF!,0))</f>
        <v>#REF!</v>
      </c>
      <c r="W120" s="33" t="e">
        <f>INDEX(#REF!,MATCH($A120,#REF!,0))</f>
        <v>#REF!</v>
      </c>
      <c r="X120" s="33" t="e">
        <f>INDEX(#REF!,MATCH($A120,#REF!,0))</f>
        <v>#REF!</v>
      </c>
      <c r="Y120" s="33" t="e">
        <f>INDEX(#REF!,MATCH($A120,#REF!,0))</f>
        <v>#REF!</v>
      </c>
      <c r="Z120" s="33" t="e">
        <f>INDEX(#REF!,MATCH($A120,#REF!,0))</f>
        <v>#REF!</v>
      </c>
      <c r="AA120" s="33" t="e">
        <f>INDEX(#REF!,MATCH($A120,#REF!,0))</f>
        <v>#REF!</v>
      </c>
      <c r="AB120" s="33" t="e">
        <f>INDEX(#REF!,MATCH($A120,#REF!,0))</f>
        <v>#REF!</v>
      </c>
      <c r="AC120" s="33" t="e">
        <f>INDEX(#REF!,MATCH($A120,#REF!,0))</f>
        <v>#REF!</v>
      </c>
      <c r="AD120" s="33" t="e">
        <f>INDEX(#REF!,MATCH($A120,#REF!,0))</f>
        <v>#REF!</v>
      </c>
      <c r="AE120" s="33" t="e">
        <f>INDEX(#REF!,MATCH($A120,#REF!,0))</f>
        <v>#REF!</v>
      </c>
      <c r="AF120" s="33"/>
      <c r="AG120" s="33"/>
      <c r="AH120" s="33"/>
      <c r="AI120" s="33"/>
      <c r="AJ120" s="33"/>
      <c r="AK120" s="33"/>
      <c r="AL120" s="33"/>
      <c r="AM120" s="26"/>
    </row>
    <row r="121" spans="1:41" x14ac:dyDescent="0.25">
      <c r="A121" s="30" t="s">
        <v>119</v>
      </c>
      <c r="B121" s="33" t="e">
        <f>INDEX(#REF!,MATCH($A121,#REF!,0))</f>
        <v>#REF!</v>
      </c>
      <c r="C121" s="33" t="e">
        <f>INDEX(#REF!,MATCH($A121,#REF!,0))</f>
        <v>#REF!</v>
      </c>
      <c r="D121" s="33" t="e">
        <f>INDEX(#REF!,MATCH($A121,#REF!,0))</f>
        <v>#REF!</v>
      </c>
      <c r="E121" s="33" t="e">
        <f>INDEX(#REF!,MATCH($A121,#REF!,0))</f>
        <v>#REF!</v>
      </c>
      <c r="F121" s="33" t="e">
        <f>INDEX(#REF!,MATCH($A121,#REF!,0))</f>
        <v>#REF!</v>
      </c>
      <c r="G121" s="33" t="e">
        <f>INDEX(#REF!,MATCH($A121,#REF!,0))</f>
        <v>#REF!</v>
      </c>
      <c r="H121" s="33" t="e">
        <f>INDEX(#REF!,MATCH($A121,#REF!,0))</f>
        <v>#REF!</v>
      </c>
      <c r="I121" s="33" t="e">
        <f>INDEX(#REF!,MATCH($A121,#REF!,0))</f>
        <v>#REF!</v>
      </c>
      <c r="J121" s="33" t="e">
        <f>INDEX(#REF!,MATCH($A121,#REF!,0))</f>
        <v>#REF!</v>
      </c>
      <c r="K121" s="33" t="e">
        <f>INDEX(#REF!,MATCH($A121,#REF!,0))</f>
        <v>#REF!</v>
      </c>
      <c r="L121" s="33" t="e">
        <f>INDEX(#REF!,MATCH($A121,#REF!,0))</f>
        <v>#REF!</v>
      </c>
      <c r="M121" s="33" t="e">
        <f>INDEX(#REF!,MATCH($A121,#REF!,0))</f>
        <v>#REF!</v>
      </c>
      <c r="N121" s="33" t="e">
        <f>INDEX(#REF!,MATCH($A121,#REF!,0))</f>
        <v>#REF!</v>
      </c>
      <c r="O121" s="33" t="e">
        <f>INDEX(#REF!,MATCH($A121,#REF!,0))</f>
        <v>#REF!</v>
      </c>
      <c r="P121" s="33" t="e">
        <f>INDEX(#REF!,MATCH($A121,#REF!,0))</f>
        <v>#REF!</v>
      </c>
      <c r="Q121" s="33" t="e">
        <f>INDEX(#REF!,MATCH($A121,#REF!,0))</f>
        <v>#REF!</v>
      </c>
      <c r="R121" s="33" t="e">
        <f>INDEX(#REF!,MATCH($A121,#REF!,0))</f>
        <v>#REF!</v>
      </c>
      <c r="S121" s="33" t="e">
        <f>INDEX(#REF!,MATCH($A121,#REF!,0))</f>
        <v>#REF!</v>
      </c>
      <c r="T121" s="33" t="e">
        <f>INDEX(#REF!,MATCH($A121,#REF!,0))</f>
        <v>#REF!</v>
      </c>
      <c r="U121" s="33" t="e">
        <f>INDEX(#REF!,MATCH($A121,#REF!,0))</f>
        <v>#REF!</v>
      </c>
      <c r="V121" s="33" t="e">
        <f>INDEX(#REF!,MATCH($A121,#REF!,0))</f>
        <v>#REF!</v>
      </c>
      <c r="W121" s="33" t="e">
        <f>INDEX(#REF!,MATCH($A121,#REF!,0))</f>
        <v>#REF!</v>
      </c>
      <c r="X121" s="33" t="e">
        <f>INDEX(#REF!,MATCH($A121,#REF!,0))</f>
        <v>#REF!</v>
      </c>
      <c r="Y121" s="33" t="e">
        <f>INDEX(#REF!,MATCH($A121,#REF!,0))</f>
        <v>#REF!</v>
      </c>
      <c r="Z121" s="33" t="e">
        <f>INDEX(#REF!,MATCH($A121,#REF!,0))</f>
        <v>#REF!</v>
      </c>
      <c r="AA121" s="33" t="e">
        <f>INDEX(#REF!,MATCH($A121,#REF!,0))</f>
        <v>#REF!</v>
      </c>
      <c r="AB121" s="33" t="e">
        <f>INDEX(#REF!,MATCH($A121,#REF!,0))</f>
        <v>#REF!</v>
      </c>
      <c r="AC121" s="33" t="e">
        <f>INDEX(#REF!,MATCH($A121,#REF!,0))</f>
        <v>#REF!</v>
      </c>
      <c r="AD121" s="33" t="e">
        <f>INDEX(#REF!,MATCH($A121,#REF!,0))</f>
        <v>#REF!</v>
      </c>
      <c r="AE121" s="33" t="e">
        <f>INDEX(#REF!,MATCH($A121,#REF!,0))</f>
        <v>#REF!</v>
      </c>
      <c r="AF121" s="33" t="e">
        <f>INDEX(#REF!,MATCH($A121,#REF!,0))</f>
        <v>#REF!</v>
      </c>
      <c r="AG121" s="33" t="e">
        <f>INDEX(#REF!,MATCH($A121,#REF!,0))</f>
        <v>#REF!</v>
      </c>
      <c r="AH121" s="33" t="e">
        <f>INDEX(#REF!,MATCH($A121,#REF!,0))</f>
        <v>#REF!</v>
      </c>
      <c r="AI121" s="33" t="e">
        <f>INDEX(#REF!,MATCH($A121,#REF!,0))</f>
        <v>#REF!</v>
      </c>
      <c r="AJ121" s="33" t="e">
        <f>INDEX(#REF!,MATCH($A121,#REF!,0))</f>
        <v>#REF!</v>
      </c>
      <c r="AK121" s="33" t="e">
        <f>INDEX(#REF!,MATCH($A121,#REF!,0))</f>
        <v>#REF!</v>
      </c>
      <c r="AL121" s="33"/>
      <c r="AM121" s="26"/>
    </row>
    <row r="122" spans="1:41" x14ac:dyDescent="0.25">
      <c r="A122" s="30" t="s">
        <v>154</v>
      </c>
      <c r="B122" s="33" t="e">
        <f>INDEX(#REF!,MATCH($A122,#REF!,0))</f>
        <v>#REF!</v>
      </c>
      <c r="C122" s="33" t="e">
        <f>INDEX(#REF!,MATCH($A122,#REF!,0))</f>
        <v>#REF!</v>
      </c>
      <c r="D122" s="33" t="e">
        <f>INDEX(#REF!,MATCH($A122,#REF!,0))</f>
        <v>#REF!</v>
      </c>
      <c r="E122" s="33" t="e">
        <f>INDEX(#REF!,MATCH($A122,#REF!,0))</f>
        <v>#REF!</v>
      </c>
      <c r="F122" s="33" t="e">
        <f>INDEX(#REF!,MATCH($A122,#REF!,0))</f>
        <v>#REF!</v>
      </c>
      <c r="G122" s="33" t="e">
        <f>INDEX(#REF!,MATCH($A122,#REF!,0))</f>
        <v>#REF!</v>
      </c>
      <c r="H122" s="33" t="e">
        <f>INDEX(#REF!,MATCH($A122,#REF!,0))</f>
        <v>#REF!</v>
      </c>
      <c r="I122" s="33" t="e">
        <f>INDEX(#REF!,MATCH($A122,#REF!,0))</f>
        <v>#REF!</v>
      </c>
      <c r="J122" s="33" t="e">
        <f>INDEX(#REF!,MATCH($A122,#REF!,0))</f>
        <v>#REF!</v>
      </c>
      <c r="K122" s="33" t="e">
        <f>INDEX(#REF!,MATCH($A122,#REF!,0))</f>
        <v>#REF!</v>
      </c>
      <c r="L122" s="33" t="e">
        <f>INDEX(#REF!,MATCH($A122,#REF!,0))</f>
        <v>#REF!</v>
      </c>
      <c r="M122" s="33" t="e">
        <f>INDEX(#REF!,MATCH($A122,#REF!,0))</f>
        <v>#REF!</v>
      </c>
      <c r="N122" s="33" t="e">
        <f>INDEX(#REF!,MATCH($A122,#REF!,0))</f>
        <v>#REF!</v>
      </c>
      <c r="O122" s="33" t="e">
        <f>INDEX(#REF!,MATCH($A122,#REF!,0))</f>
        <v>#REF!</v>
      </c>
      <c r="P122" s="33" t="e">
        <f>INDEX(#REF!,MATCH($A122,#REF!,0))</f>
        <v>#REF!</v>
      </c>
      <c r="Q122" s="33" t="e">
        <f>INDEX(#REF!,MATCH($A122,#REF!,0))</f>
        <v>#REF!</v>
      </c>
      <c r="R122" s="33" t="e">
        <f>INDEX(#REF!,MATCH($A122,#REF!,0))</f>
        <v>#REF!</v>
      </c>
      <c r="S122" s="33" t="e">
        <f>INDEX(#REF!,MATCH($A122,#REF!,0))</f>
        <v>#REF!</v>
      </c>
      <c r="T122" s="33" t="e">
        <f>INDEX(#REF!,MATCH($A122,#REF!,0))</f>
        <v>#REF!</v>
      </c>
      <c r="U122" s="33" t="e">
        <f>INDEX(#REF!,MATCH($A122,#REF!,0))</f>
        <v>#REF!</v>
      </c>
      <c r="V122" s="33" t="e">
        <f>INDEX(#REF!,MATCH($A122,#REF!,0))</f>
        <v>#REF!</v>
      </c>
      <c r="W122" s="33" t="e">
        <f>INDEX(#REF!,MATCH($A122,#REF!,0))</f>
        <v>#REF!</v>
      </c>
      <c r="X122" s="33" t="e">
        <f>INDEX(#REF!,MATCH($A122,#REF!,0))</f>
        <v>#REF!</v>
      </c>
      <c r="Y122" s="33" t="e">
        <f>INDEX(#REF!,MATCH($A122,#REF!,0))</f>
        <v>#REF!</v>
      </c>
      <c r="Z122" s="33" t="e">
        <f>INDEX(#REF!,MATCH($A122,#REF!,0))</f>
        <v>#REF!</v>
      </c>
      <c r="AA122" s="33" t="e">
        <f>INDEX(#REF!,MATCH($A122,#REF!,0))</f>
        <v>#REF!</v>
      </c>
      <c r="AB122" s="33" t="e">
        <f>INDEX(#REF!,MATCH($A122,#REF!,0))</f>
        <v>#REF!</v>
      </c>
      <c r="AC122" s="33" t="e">
        <f>INDEX(#REF!,MATCH($A122,#REF!,0))</f>
        <v>#REF!</v>
      </c>
      <c r="AD122" s="33" t="e">
        <f>INDEX(#REF!,MATCH($A122,#REF!,0))</f>
        <v>#REF!</v>
      </c>
      <c r="AE122" s="33" t="e">
        <f>INDEX(#REF!,MATCH($A122,#REF!,0))</f>
        <v>#REF!</v>
      </c>
      <c r="AF122" s="33" t="e">
        <f>INDEX(#REF!,MATCH($A122,#REF!,0))</f>
        <v>#REF!</v>
      </c>
      <c r="AG122" s="33"/>
      <c r="AH122" s="33"/>
      <c r="AI122" s="33"/>
      <c r="AJ122" s="33"/>
      <c r="AK122" s="33"/>
      <c r="AL122" s="33"/>
      <c r="AM122" s="26"/>
    </row>
    <row r="123" spans="1:41" x14ac:dyDescent="0.25">
      <c r="A123" s="30" t="s">
        <v>138</v>
      </c>
      <c r="B123" s="33" t="e">
        <f>INDEX(#REF!,MATCH($A123,#REF!,0))</f>
        <v>#REF!</v>
      </c>
      <c r="C123" s="33" t="e">
        <f>INDEX(#REF!,MATCH($A123,#REF!,0))</f>
        <v>#REF!</v>
      </c>
      <c r="D123" s="33" t="e">
        <f>INDEX(#REF!,MATCH($A123,#REF!,0))</f>
        <v>#REF!</v>
      </c>
      <c r="E123" s="33" t="e">
        <f>INDEX(#REF!,MATCH($A123,#REF!,0))</f>
        <v>#REF!</v>
      </c>
      <c r="F123" s="33" t="e">
        <f>INDEX(#REF!,MATCH($A123,#REF!,0))</f>
        <v>#REF!</v>
      </c>
      <c r="G123" s="33" t="e">
        <f>INDEX(#REF!,MATCH($A123,#REF!,0))</f>
        <v>#REF!</v>
      </c>
      <c r="H123" s="33" t="e">
        <f>INDEX(#REF!,MATCH($A123,#REF!,0))</f>
        <v>#REF!</v>
      </c>
      <c r="I123" s="33" t="e">
        <f>INDEX(#REF!,MATCH($A123,#REF!,0))</f>
        <v>#REF!</v>
      </c>
      <c r="J123" s="33" t="e">
        <f>INDEX(#REF!,MATCH($A123,#REF!,0))</f>
        <v>#REF!</v>
      </c>
      <c r="K123" s="33" t="e">
        <f>INDEX(#REF!,MATCH($A123,#REF!,0))</f>
        <v>#REF!</v>
      </c>
      <c r="L123" s="33" t="e">
        <f>INDEX(#REF!,MATCH($A123,#REF!,0))</f>
        <v>#REF!</v>
      </c>
      <c r="M123" s="33" t="e">
        <f>INDEX(#REF!,MATCH($A123,#REF!,0))</f>
        <v>#REF!</v>
      </c>
      <c r="N123" s="33" t="e">
        <f>INDEX(#REF!,MATCH($A123,#REF!,0))</f>
        <v>#REF!</v>
      </c>
      <c r="O123" s="33" t="e">
        <f>INDEX(#REF!,MATCH($A123,#REF!,0))</f>
        <v>#REF!</v>
      </c>
      <c r="P123" s="33" t="e">
        <f>INDEX(#REF!,MATCH($A123,#REF!,0))</f>
        <v>#REF!</v>
      </c>
      <c r="Q123" s="33" t="e">
        <f>INDEX(#REF!,MATCH($A123,#REF!,0))</f>
        <v>#REF!</v>
      </c>
      <c r="R123" s="33" t="e">
        <f>INDEX(#REF!,MATCH($A123,#REF!,0))</f>
        <v>#REF!</v>
      </c>
      <c r="S123" s="33" t="e">
        <f>INDEX(#REF!,MATCH($A123,#REF!,0))</f>
        <v>#REF!</v>
      </c>
      <c r="T123" s="33" t="e">
        <f>INDEX(#REF!,MATCH($A123,#REF!,0))</f>
        <v>#REF!</v>
      </c>
      <c r="U123" s="33" t="e">
        <f>INDEX(#REF!,MATCH($A123,#REF!,0))</f>
        <v>#REF!</v>
      </c>
      <c r="V123" s="33" t="e">
        <f>INDEX(#REF!,MATCH($A123,#REF!,0))</f>
        <v>#REF!</v>
      </c>
      <c r="W123" s="33" t="e">
        <f>INDEX(#REF!,MATCH($A123,#REF!,0))</f>
        <v>#REF!</v>
      </c>
      <c r="X123" s="33" t="e">
        <f>INDEX(#REF!,MATCH($A123,#REF!,0))</f>
        <v>#REF!</v>
      </c>
      <c r="Y123" s="33" t="e">
        <f>INDEX(#REF!,MATCH($A123,#REF!,0))</f>
        <v>#REF!</v>
      </c>
      <c r="Z123" s="33" t="e">
        <f>INDEX(#REF!,MATCH($A123,#REF!,0))</f>
        <v>#REF!</v>
      </c>
      <c r="AA123" s="33" t="e">
        <f>INDEX(#REF!,MATCH($A123,#REF!,0))</f>
        <v>#REF!</v>
      </c>
      <c r="AB123" s="33" t="e">
        <f>INDEX(#REF!,MATCH($A123,#REF!,0))</f>
        <v>#REF!</v>
      </c>
      <c r="AC123" s="33"/>
      <c r="AD123" s="33"/>
      <c r="AE123" s="33"/>
      <c r="AF123" s="33"/>
      <c r="AG123" s="33"/>
      <c r="AH123" s="33"/>
      <c r="AI123" s="33"/>
      <c r="AJ123" s="33"/>
      <c r="AK123" s="33"/>
      <c r="AL123" s="33"/>
      <c r="AM123" s="26"/>
    </row>
    <row r="124" spans="1:41" x14ac:dyDescent="0.25">
      <c r="A124" s="30" t="s">
        <v>162</v>
      </c>
      <c r="B124" s="33" t="e">
        <f>INDEX(#REF!,MATCH($A124,#REF!,0))</f>
        <v>#REF!</v>
      </c>
      <c r="C124" s="33" t="e">
        <f>INDEX(#REF!,MATCH($A124,#REF!,0))</f>
        <v>#REF!</v>
      </c>
      <c r="D124" s="33" t="e">
        <f>INDEX(#REF!,MATCH($A124,#REF!,0))</f>
        <v>#REF!</v>
      </c>
      <c r="E124" s="33" t="e">
        <f>INDEX(#REF!,MATCH($A124,#REF!,0))</f>
        <v>#REF!</v>
      </c>
      <c r="F124" s="33" t="e">
        <f>INDEX(#REF!,MATCH($A124,#REF!,0))</f>
        <v>#REF!</v>
      </c>
      <c r="G124" s="33" t="e">
        <f>INDEX(#REF!,MATCH($A124,#REF!,0))</f>
        <v>#REF!</v>
      </c>
      <c r="H124" s="33" t="e">
        <f>INDEX(#REF!,MATCH($A124,#REF!,0))</f>
        <v>#REF!</v>
      </c>
      <c r="I124" s="33" t="e">
        <f>INDEX(#REF!,MATCH($A124,#REF!,0))</f>
        <v>#REF!</v>
      </c>
      <c r="J124" s="33" t="e">
        <f>INDEX(#REF!,MATCH($A124,#REF!,0))</f>
        <v>#REF!</v>
      </c>
      <c r="K124" s="33" t="e">
        <f>INDEX(#REF!,MATCH($A124,#REF!,0))</f>
        <v>#REF!</v>
      </c>
      <c r="L124" s="33" t="e">
        <f>INDEX(#REF!,MATCH($A124,#REF!,0))</f>
        <v>#REF!</v>
      </c>
      <c r="M124" s="33" t="e">
        <f>INDEX(#REF!,MATCH($A124,#REF!,0))</f>
        <v>#REF!</v>
      </c>
      <c r="N124" s="33" t="e">
        <f>INDEX(#REF!,MATCH($A124,#REF!,0))</f>
        <v>#REF!</v>
      </c>
      <c r="O124" s="33" t="e">
        <f>INDEX(#REF!,MATCH($A124,#REF!,0))</f>
        <v>#REF!</v>
      </c>
      <c r="P124" s="33" t="e">
        <f>INDEX(#REF!,MATCH($A124,#REF!,0))</f>
        <v>#REF!</v>
      </c>
      <c r="Q124" s="33" t="e">
        <f>INDEX(#REF!,MATCH($A124,#REF!,0))</f>
        <v>#REF!</v>
      </c>
      <c r="R124" s="33" t="e">
        <f>INDEX(#REF!,MATCH($A124,#REF!,0))</f>
        <v>#REF!</v>
      </c>
      <c r="S124" s="33" t="e">
        <f>INDEX(#REF!,MATCH($A124,#REF!,0))</f>
        <v>#REF!</v>
      </c>
      <c r="T124" s="33" t="e">
        <f>INDEX(#REF!,MATCH($A124,#REF!,0))</f>
        <v>#REF!</v>
      </c>
      <c r="U124" s="33" t="e">
        <f>INDEX(#REF!,MATCH($A124,#REF!,0))</f>
        <v>#REF!</v>
      </c>
      <c r="V124" s="33" t="e">
        <f>INDEX(#REF!,MATCH($A124,#REF!,0))</f>
        <v>#REF!</v>
      </c>
      <c r="W124" s="33" t="e">
        <f>INDEX(#REF!,MATCH($A124,#REF!,0))</f>
        <v>#REF!</v>
      </c>
      <c r="X124" s="33" t="e">
        <f>INDEX(#REF!,MATCH($A124,#REF!,0))</f>
        <v>#REF!</v>
      </c>
      <c r="Y124" s="33" t="e">
        <f>INDEX(#REF!,MATCH($A124,#REF!,0))</f>
        <v>#REF!</v>
      </c>
      <c r="Z124" s="33" t="e">
        <f>INDEX(#REF!,MATCH($A124,#REF!,0))</f>
        <v>#REF!</v>
      </c>
      <c r="AA124" s="33" t="e">
        <f>INDEX(#REF!,MATCH($A124,#REF!,0))</f>
        <v>#REF!</v>
      </c>
      <c r="AB124" s="33" t="e">
        <f>INDEX(#REF!,MATCH($A124,#REF!,0))</f>
        <v>#REF!</v>
      </c>
      <c r="AC124" s="33" t="e">
        <f>INDEX(#REF!,MATCH($A124,#REF!,0))</f>
        <v>#REF!</v>
      </c>
      <c r="AD124" s="33" t="e">
        <f>INDEX(#REF!,MATCH($A124,#REF!,0))</f>
        <v>#REF!</v>
      </c>
      <c r="AE124" s="33" t="e">
        <f>INDEX(#REF!,MATCH($A124,#REF!,0))</f>
        <v>#REF!</v>
      </c>
      <c r="AF124" s="33" t="e">
        <f>INDEX(#REF!,MATCH($A124,#REF!,0))</f>
        <v>#REF!</v>
      </c>
      <c r="AG124" s="33"/>
      <c r="AH124" s="33"/>
      <c r="AI124" s="33"/>
      <c r="AJ124" s="33"/>
      <c r="AK124" s="33"/>
      <c r="AL124" s="33"/>
      <c r="AM124" s="26"/>
    </row>
    <row r="125" spans="1:41" ht="15.75" thickBot="1" x14ac:dyDescent="0.3">
      <c r="A125" s="69" t="s">
        <v>60</v>
      </c>
      <c r="B125" s="33" t="e">
        <f>INDEX(#REF!,MATCH($A125,#REF!,0))</f>
        <v>#REF!</v>
      </c>
      <c r="C125" s="33" t="e">
        <f>INDEX(#REF!,MATCH($A125,#REF!,0))</f>
        <v>#REF!</v>
      </c>
      <c r="D125" s="33" t="e">
        <f>INDEX(#REF!,MATCH($A125,#REF!,0))</f>
        <v>#REF!</v>
      </c>
      <c r="E125" s="33" t="e">
        <f>INDEX(#REF!,MATCH($A125,#REF!,0))</f>
        <v>#REF!</v>
      </c>
      <c r="F125" s="33" t="e">
        <f>INDEX(#REF!,MATCH($A125,#REF!,0))</f>
        <v>#REF!</v>
      </c>
      <c r="G125" s="33" t="e">
        <f>INDEX(#REF!,MATCH($A125,#REF!,0))</f>
        <v>#REF!</v>
      </c>
      <c r="H125" s="33" t="e">
        <f>INDEX(#REF!,MATCH($A125,#REF!,0))</f>
        <v>#REF!</v>
      </c>
      <c r="I125" s="33" t="e">
        <f>INDEX(#REF!,MATCH($A125,#REF!,0))</f>
        <v>#REF!</v>
      </c>
      <c r="J125" s="33" t="e">
        <f>INDEX(#REF!,MATCH($A125,#REF!,0))</f>
        <v>#REF!</v>
      </c>
      <c r="K125" s="33" t="e">
        <f>INDEX(#REF!,MATCH($A125,#REF!,0))</f>
        <v>#REF!</v>
      </c>
      <c r="L125" s="33" t="e">
        <f>INDEX(#REF!,MATCH($A125,#REF!,0))</f>
        <v>#REF!</v>
      </c>
      <c r="M125" s="33" t="e">
        <f>INDEX(#REF!,MATCH($A125,#REF!,0))</f>
        <v>#REF!</v>
      </c>
      <c r="N125" s="33" t="e">
        <f>INDEX(#REF!,MATCH($A125,#REF!,0))</f>
        <v>#REF!</v>
      </c>
      <c r="O125" s="33" t="e">
        <f>INDEX(#REF!,MATCH($A125,#REF!,0))</f>
        <v>#REF!</v>
      </c>
      <c r="P125" s="33" t="e">
        <f>INDEX(#REF!,MATCH($A125,#REF!,0))</f>
        <v>#REF!</v>
      </c>
      <c r="Q125" s="33" t="e">
        <f>INDEX(#REF!,MATCH($A125,#REF!,0))</f>
        <v>#REF!</v>
      </c>
      <c r="R125" s="33" t="e">
        <f>INDEX(#REF!,MATCH($A125,#REF!,0))</f>
        <v>#REF!</v>
      </c>
      <c r="S125" s="33" t="e">
        <f>INDEX(#REF!,MATCH($A125,#REF!,0))</f>
        <v>#REF!</v>
      </c>
      <c r="T125" s="33" t="e">
        <f>INDEX(#REF!,MATCH($A125,#REF!,0))</f>
        <v>#REF!</v>
      </c>
      <c r="U125" s="33" t="e">
        <f>INDEX(#REF!,MATCH($A125,#REF!,0))</f>
        <v>#REF!</v>
      </c>
      <c r="V125" s="33" t="e">
        <f>INDEX(#REF!,MATCH($A125,#REF!,0))</f>
        <v>#REF!</v>
      </c>
      <c r="W125" s="33" t="e">
        <f>INDEX(#REF!,MATCH($A125,#REF!,0))</f>
        <v>#REF!</v>
      </c>
      <c r="X125" s="33" t="e">
        <f>INDEX(#REF!,MATCH($A125,#REF!,0))</f>
        <v>#REF!</v>
      </c>
      <c r="Y125" s="33" t="e">
        <f>INDEX(#REF!,MATCH($A125,#REF!,0))</f>
        <v>#REF!</v>
      </c>
      <c r="Z125" s="33" t="e">
        <f>INDEX(#REF!,MATCH($A125,#REF!,0))</f>
        <v>#REF!</v>
      </c>
      <c r="AA125" s="33" t="e">
        <f>INDEX(#REF!,MATCH($A125,#REF!,0))</f>
        <v>#REF!</v>
      </c>
      <c r="AB125" s="33" t="e">
        <f>INDEX(#REF!,MATCH($A125,#REF!,0))</f>
        <v>#REF!</v>
      </c>
      <c r="AC125" s="33" t="e">
        <f>INDEX(#REF!,MATCH($A125,#REF!,0))</f>
        <v>#REF!</v>
      </c>
      <c r="AD125" s="33" t="e">
        <f>INDEX(#REF!,MATCH($A125,#REF!,0))</f>
        <v>#REF!</v>
      </c>
      <c r="AE125" s="33" t="e">
        <f>INDEX(#REF!,MATCH($A125,#REF!,0))</f>
        <v>#REF!</v>
      </c>
      <c r="AF125" s="33"/>
      <c r="AG125" s="50"/>
      <c r="AH125" s="50"/>
      <c r="AI125" s="50"/>
      <c r="AJ125" s="50"/>
      <c r="AK125" s="50"/>
      <c r="AL125" s="50"/>
      <c r="AM125" s="27"/>
    </row>
    <row r="126" spans="1:41" x14ac:dyDescent="0.25">
      <c r="E126"/>
    </row>
    <row r="127" spans="1:41" ht="15.75" thickBot="1" x14ac:dyDescent="0.3">
      <c r="E127"/>
    </row>
    <row r="128" spans="1:41" ht="15.75" thickBot="1" x14ac:dyDescent="0.3">
      <c r="B128" s="67" t="s">
        <v>279</v>
      </c>
      <c r="C128" s="66">
        <v>0</v>
      </c>
      <c r="D128" s="66">
        <v>1</v>
      </c>
      <c r="E128" s="66">
        <v>2</v>
      </c>
      <c r="F128" s="66">
        <v>3</v>
      </c>
      <c r="G128" s="66">
        <v>4</v>
      </c>
      <c r="H128" s="66"/>
      <c r="I128" s="66">
        <v>5</v>
      </c>
      <c r="J128" s="66">
        <v>6</v>
      </c>
      <c r="K128" s="66">
        <v>7</v>
      </c>
      <c r="L128" s="66">
        <v>8</v>
      </c>
      <c r="M128" s="66">
        <v>9</v>
      </c>
      <c r="N128" s="66">
        <v>10</v>
      </c>
      <c r="O128" s="66">
        <v>11</v>
      </c>
      <c r="P128" s="66">
        <v>12</v>
      </c>
      <c r="Q128" s="66">
        <v>13</v>
      </c>
      <c r="R128" s="66">
        <v>14</v>
      </c>
      <c r="S128" s="66">
        <v>15</v>
      </c>
      <c r="T128" s="66">
        <v>16</v>
      </c>
      <c r="U128" s="66">
        <v>17</v>
      </c>
      <c r="V128" s="66">
        <v>18</v>
      </c>
      <c r="W128" s="66">
        <v>19</v>
      </c>
      <c r="X128" s="66">
        <v>20</v>
      </c>
      <c r="Y128" s="66">
        <v>21</v>
      </c>
      <c r="Z128" s="66">
        <v>22</v>
      </c>
      <c r="AA128" s="66">
        <v>23</v>
      </c>
      <c r="AB128" s="66">
        <v>24</v>
      </c>
      <c r="AC128" s="66">
        <v>25</v>
      </c>
      <c r="AD128" s="66">
        <v>26</v>
      </c>
      <c r="AE128" s="66">
        <v>27</v>
      </c>
      <c r="AF128" s="66">
        <v>28</v>
      </c>
      <c r="AG128" s="66">
        <v>29</v>
      </c>
      <c r="AH128" s="66">
        <v>30</v>
      </c>
      <c r="AI128" s="66">
        <v>31</v>
      </c>
      <c r="AJ128" s="66">
        <v>32</v>
      </c>
      <c r="AK128" s="66">
        <v>33</v>
      </c>
      <c r="AL128" s="66">
        <v>34</v>
      </c>
      <c r="AM128" s="66">
        <v>35</v>
      </c>
      <c r="AN128" s="66">
        <v>36</v>
      </c>
      <c r="AO128" s="75" t="s">
        <v>254</v>
      </c>
    </row>
    <row r="129" spans="2:41" x14ac:dyDescent="0.25">
      <c r="B129" s="70" t="s">
        <v>155</v>
      </c>
      <c r="C129" s="71" t="e">
        <f>(C115-B115)/B115</f>
        <v>#REF!</v>
      </c>
      <c r="D129" s="71" t="e">
        <f t="shared" ref="D129:AM136" si="5">(D115-C115)/C115</f>
        <v>#REF!</v>
      </c>
      <c r="E129" s="71" t="e">
        <f t="shared" si="5"/>
        <v>#REF!</v>
      </c>
      <c r="F129" s="71" t="e">
        <f t="shared" si="5"/>
        <v>#REF!</v>
      </c>
      <c r="G129" s="71" t="e">
        <f t="shared" si="5"/>
        <v>#REF!</v>
      </c>
      <c r="H129" s="71"/>
      <c r="I129" s="71" t="e">
        <f t="shared" ref="I129:I139" si="6">(I115-G115)/G115</f>
        <v>#REF!</v>
      </c>
      <c r="J129" s="71" t="e">
        <f t="shared" si="5"/>
        <v>#REF!</v>
      </c>
      <c r="K129" s="71" t="e">
        <f t="shared" si="5"/>
        <v>#REF!</v>
      </c>
      <c r="L129" s="71" t="e">
        <f t="shared" si="5"/>
        <v>#REF!</v>
      </c>
      <c r="M129" s="71" t="e">
        <f t="shared" si="5"/>
        <v>#REF!</v>
      </c>
      <c r="N129" s="71" t="e">
        <f t="shared" si="5"/>
        <v>#REF!</v>
      </c>
      <c r="O129" s="71" t="e">
        <f t="shared" si="5"/>
        <v>#REF!</v>
      </c>
      <c r="P129" s="71" t="e">
        <f t="shared" si="5"/>
        <v>#REF!</v>
      </c>
      <c r="Q129" s="71" t="e">
        <f t="shared" si="5"/>
        <v>#REF!</v>
      </c>
      <c r="R129" s="71" t="e">
        <f t="shared" ref="R129:S139" si="7">(R115-Q115)/Q115</f>
        <v>#REF!</v>
      </c>
      <c r="S129" s="71" t="e">
        <f t="shared" si="7"/>
        <v>#REF!</v>
      </c>
      <c r="T129" s="71" t="e">
        <f t="shared" si="5"/>
        <v>#REF!</v>
      </c>
      <c r="U129" s="71" t="e">
        <f t="shared" si="5"/>
        <v>#REF!</v>
      </c>
      <c r="V129" s="71" t="e">
        <f t="shared" si="5"/>
        <v>#REF!</v>
      </c>
      <c r="W129" s="71" t="e">
        <f t="shared" si="5"/>
        <v>#REF!</v>
      </c>
      <c r="X129" s="71" t="e">
        <f t="shared" si="5"/>
        <v>#REF!</v>
      </c>
      <c r="Y129" s="71" t="e">
        <f t="shared" si="5"/>
        <v>#REF!</v>
      </c>
      <c r="Z129" s="71" t="e">
        <f t="shared" si="5"/>
        <v>#REF!</v>
      </c>
      <c r="AA129" s="71" t="e">
        <f t="shared" si="5"/>
        <v>#REF!</v>
      </c>
      <c r="AB129" s="71"/>
      <c r="AC129" s="71"/>
      <c r="AD129" s="71"/>
      <c r="AE129" s="71"/>
      <c r="AF129" s="71"/>
      <c r="AG129" s="71"/>
      <c r="AH129" s="71"/>
      <c r="AI129" s="71"/>
      <c r="AJ129" s="71"/>
      <c r="AK129" s="71"/>
      <c r="AL129" s="71"/>
      <c r="AM129" s="71"/>
      <c r="AN129" s="68"/>
      <c r="AO129" s="115" t="e">
        <f>AVERAGE(C129:AN129)</f>
        <v>#REF!</v>
      </c>
    </row>
    <row r="130" spans="2:41" x14ac:dyDescent="0.25">
      <c r="B130" s="30" t="s">
        <v>14</v>
      </c>
      <c r="C130" s="72" t="e">
        <f t="shared" ref="C130:Q139" si="8">(C116-B116)/B116</f>
        <v>#REF!</v>
      </c>
      <c r="D130" s="72" t="e">
        <f t="shared" si="8"/>
        <v>#REF!</v>
      </c>
      <c r="E130" s="72" t="e">
        <f t="shared" si="8"/>
        <v>#REF!</v>
      </c>
      <c r="F130" s="72" t="e">
        <f t="shared" si="8"/>
        <v>#REF!</v>
      </c>
      <c r="G130" s="72" t="e">
        <f t="shared" si="8"/>
        <v>#REF!</v>
      </c>
      <c r="H130" s="72"/>
      <c r="I130" s="72" t="e">
        <f t="shared" si="6"/>
        <v>#REF!</v>
      </c>
      <c r="J130" s="72" t="e">
        <f t="shared" si="8"/>
        <v>#REF!</v>
      </c>
      <c r="K130" s="72" t="e">
        <f t="shared" si="8"/>
        <v>#REF!</v>
      </c>
      <c r="L130" s="72" t="e">
        <f t="shared" si="8"/>
        <v>#REF!</v>
      </c>
      <c r="M130" s="72" t="e">
        <f t="shared" si="8"/>
        <v>#REF!</v>
      </c>
      <c r="N130" s="72" t="e">
        <f t="shared" si="8"/>
        <v>#REF!</v>
      </c>
      <c r="O130" s="72" t="e">
        <f t="shared" si="8"/>
        <v>#REF!</v>
      </c>
      <c r="P130" s="72" t="e">
        <f t="shared" si="8"/>
        <v>#REF!</v>
      </c>
      <c r="Q130" s="72" t="e">
        <f t="shared" si="8"/>
        <v>#REF!</v>
      </c>
      <c r="R130" s="72" t="e">
        <f t="shared" si="7"/>
        <v>#REF!</v>
      </c>
      <c r="S130" s="72" t="e">
        <f t="shared" si="7"/>
        <v>#REF!</v>
      </c>
      <c r="T130" s="72" t="e">
        <f t="shared" si="5"/>
        <v>#REF!</v>
      </c>
      <c r="U130" s="72" t="e">
        <f t="shared" si="5"/>
        <v>#REF!</v>
      </c>
      <c r="V130" s="72" t="e">
        <f t="shared" si="5"/>
        <v>#REF!</v>
      </c>
      <c r="W130" s="72" t="e">
        <f t="shared" si="5"/>
        <v>#REF!</v>
      </c>
      <c r="X130" s="72" t="e">
        <f t="shared" si="5"/>
        <v>#REF!</v>
      </c>
      <c r="Y130" s="72" t="e">
        <f t="shared" si="5"/>
        <v>#REF!</v>
      </c>
      <c r="Z130" s="72" t="e">
        <f t="shared" si="5"/>
        <v>#REF!</v>
      </c>
      <c r="AA130" s="72" t="e">
        <f t="shared" si="5"/>
        <v>#REF!</v>
      </c>
      <c r="AB130" s="72" t="e">
        <f t="shared" si="5"/>
        <v>#REF!</v>
      </c>
      <c r="AC130" s="72" t="e">
        <f t="shared" si="5"/>
        <v>#REF!</v>
      </c>
      <c r="AD130" s="72" t="e">
        <f t="shared" si="5"/>
        <v>#REF!</v>
      </c>
      <c r="AE130" s="72" t="e">
        <f t="shared" si="5"/>
        <v>#REF!</v>
      </c>
      <c r="AF130" s="72" t="e">
        <f t="shared" si="5"/>
        <v>#REF!</v>
      </c>
      <c r="AG130" s="72" t="e">
        <f t="shared" si="5"/>
        <v>#REF!</v>
      </c>
      <c r="AH130" s="72" t="e">
        <f t="shared" si="5"/>
        <v>#REF!</v>
      </c>
      <c r="AI130" s="72" t="e">
        <f t="shared" si="5"/>
        <v>#REF!</v>
      </c>
      <c r="AJ130" s="72" t="e">
        <f t="shared" si="5"/>
        <v>#REF!</v>
      </c>
      <c r="AK130" s="72" t="e">
        <f t="shared" si="5"/>
        <v>#REF!</v>
      </c>
      <c r="AL130" s="72" t="e">
        <f t="shared" si="5"/>
        <v>#REF!</v>
      </c>
      <c r="AM130" s="72" t="e">
        <f t="shared" si="5"/>
        <v>#REF!</v>
      </c>
      <c r="AN130" s="26"/>
      <c r="AO130" s="115" t="e">
        <f t="shared" ref="AO130:AO139" si="9">AVERAGE(C130:AN130)</f>
        <v>#REF!</v>
      </c>
    </row>
    <row r="131" spans="2:41" x14ac:dyDescent="0.25">
      <c r="B131" s="30" t="s">
        <v>156</v>
      </c>
      <c r="C131" s="72" t="e">
        <f t="shared" si="8"/>
        <v>#REF!</v>
      </c>
      <c r="D131" s="72" t="e">
        <f t="shared" si="5"/>
        <v>#REF!</v>
      </c>
      <c r="E131" s="72" t="e">
        <f t="shared" si="5"/>
        <v>#REF!</v>
      </c>
      <c r="F131" s="72" t="e">
        <f t="shared" si="5"/>
        <v>#REF!</v>
      </c>
      <c r="G131" s="72" t="e">
        <f t="shared" si="5"/>
        <v>#REF!</v>
      </c>
      <c r="H131" s="72"/>
      <c r="I131" s="72" t="e">
        <f t="shared" si="6"/>
        <v>#REF!</v>
      </c>
      <c r="J131" s="72" t="e">
        <f t="shared" si="5"/>
        <v>#REF!</v>
      </c>
      <c r="K131" s="72" t="e">
        <f t="shared" si="5"/>
        <v>#REF!</v>
      </c>
      <c r="L131" s="72" t="e">
        <f t="shared" si="5"/>
        <v>#REF!</v>
      </c>
      <c r="M131" s="72" t="e">
        <f t="shared" si="5"/>
        <v>#REF!</v>
      </c>
      <c r="N131" s="72" t="e">
        <f t="shared" si="5"/>
        <v>#REF!</v>
      </c>
      <c r="O131" s="72" t="e">
        <f t="shared" si="5"/>
        <v>#REF!</v>
      </c>
      <c r="P131" s="72" t="e">
        <f t="shared" si="5"/>
        <v>#REF!</v>
      </c>
      <c r="Q131" s="72" t="e">
        <f t="shared" si="5"/>
        <v>#REF!</v>
      </c>
      <c r="R131" s="72" t="e">
        <f t="shared" si="7"/>
        <v>#REF!</v>
      </c>
      <c r="S131" s="72" t="e">
        <f t="shared" si="7"/>
        <v>#REF!</v>
      </c>
      <c r="T131" s="72" t="e">
        <f t="shared" si="5"/>
        <v>#REF!</v>
      </c>
      <c r="U131" s="72" t="e">
        <f t="shared" si="5"/>
        <v>#REF!</v>
      </c>
      <c r="V131" s="72" t="e">
        <f t="shared" si="5"/>
        <v>#REF!</v>
      </c>
      <c r="W131" s="72" t="e">
        <f t="shared" si="5"/>
        <v>#REF!</v>
      </c>
      <c r="X131" s="72" t="e">
        <f t="shared" si="5"/>
        <v>#REF!</v>
      </c>
      <c r="Y131" s="72" t="e">
        <f t="shared" si="5"/>
        <v>#REF!</v>
      </c>
      <c r="Z131" s="72" t="e">
        <f t="shared" si="5"/>
        <v>#REF!</v>
      </c>
      <c r="AA131" s="72" t="e">
        <f t="shared" si="5"/>
        <v>#REF!</v>
      </c>
      <c r="AB131" s="72" t="e">
        <f t="shared" si="5"/>
        <v>#REF!</v>
      </c>
      <c r="AC131" s="72" t="e">
        <f t="shared" si="5"/>
        <v>#REF!</v>
      </c>
      <c r="AD131" s="72" t="e">
        <f t="shared" si="5"/>
        <v>#REF!</v>
      </c>
      <c r="AE131" s="72" t="e">
        <f t="shared" si="5"/>
        <v>#REF!</v>
      </c>
      <c r="AF131" s="72" t="e">
        <f t="shared" si="5"/>
        <v>#REF!</v>
      </c>
      <c r="AG131" s="72" t="e">
        <f t="shared" si="5"/>
        <v>#REF!</v>
      </c>
      <c r="AH131" s="72"/>
      <c r="AI131" s="72"/>
      <c r="AJ131" s="72"/>
      <c r="AK131" s="72"/>
      <c r="AL131" s="72"/>
      <c r="AM131" s="72"/>
      <c r="AN131" s="26"/>
      <c r="AO131" s="115" t="e">
        <f t="shared" si="9"/>
        <v>#REF!</v>
      </c>
    </row>
    <row r="132" spans="2:41" x14ac:dyDescent="0.25">
      <c r="B132" s="30" t="s">
        <v>71</v>
      </c>
      <c r="C132" s="72" t="e">
        <f t="shared" si="8"/>
        <v>#REF!</v>
      </c>
      <c r="D132" s="72" t="e">
        <f t="shared" si="5"/>
        <v>#REF!</v>
      </c>
      <c r="E132" s="72" t="e">
        <f t="shared" si="5"/>
        <v>#REF!</v>
      </c>
      <c r="F132" s="72" t="e">
        <f t="shared" si="5"/>
        <v>#REF!</v>
      </c>
      <c r="G132" s="72" t="e">
        <f t="shared" si="5"/>
        <v>#REF!</v>
      </c>
      <c r="H132" s="72"/>
      <c r="I132" s="72" t="e">
        <f t="shared" si="6"/>
        <v>#REF!</v>
      </c>
      <c r="J132" s="72" t="e">
        <f t="shared" si="5"/>
        <v>#REF!</v>
      </c>
      <c r="K132" s="72" t="e">
        <f t="shared" si="5"/>
        <v>#REF!</v>
      </c>
      <c r="L132" s="72" t="e">
        <f t="shared" si="5"/>
        <v>#REF!</v>
      </c>
      <c r="M132" s="72" t="e">
        <f t="shared" si="5"/>
        <v>#REF!</v>
      </c>
      <c r="N132" s="72" t="e">
        <f t="shared" si="5"/>
        <v>#REF!</v>
      </c>
      <c r="O132" s="72" t="e">
        <f t="shared" si="5"/>
        <v>#REF!</v>
      </c>
      <c r="P132" s="72" t="e">
        <f t="shared" si="5"/>
        <v>#REF!</v>
      </c>
      <c r="Q132" s="72" t="e">
        <f t="shared" si="5"/>
        <v>#REF!</v>
      </c>
      <c r="R132" s="72" t="e">
        <f t="shared" si="7"/>
        <v>#REF!</v>
      </c>
      <c r="S132" s="72" t="e">
        <f t="shared" si="7"/>
        <v>#REF!</v>
      </c>
      <c r="T132" s="72" t="e">
        <f t="shared" si="5"/>
        <v>#REF!</v>
      </c>
      <c r="U132" s="72" t="e">
        <f t="shared" si="5"/>
        <v>#REF!</v>
      </c>
      <c r="V132" s="72" t="e">
        <f t="shared" si="5"/>
        <v>#REF!</v>
      </c>
      <c r="W132" s="72" t="e">
        <f t="shared" si="5"/>
        <v>#REF!</v>
      </c>
      <c r="X132" s="72" t="e">
        <f t="shared" si="5"/>
        <v>#REF!</v>
      </c>
      <c r="Y132" s="72" t="e">
        <f t="shared" si="5"/>
        <v>#REF!</v>
      </c>
      <c r="Z132" s="72" t="e">
        <f t="shared" si="5"/>
        <v>#REF!</v>
      </c>
      <c r="AA132" s="72" t="e">
        <f t="shared" si="5"/>
        <v>#REF!</v>
      </c>
      <c r="AB132" s="72" t="e">
        <f t="shared" si="5"/>
        <v>#REF!</v>
      </c>
      <c r="AC132" s="72" t="e">
        <f t="shared" si="5"/>
        <v>#REF!</v>
      </c>
      <c r="AD132" s="72" t="e">
        <f t="shared" si="5"/>
        <v>#REF!</v>
      </c>
      <c r="AE132" s="72" t="e">
        <f t="shared" si="5"/>
        <v>#REF!</v>
      </c>
      <c r="AF132" s="72" t="e">
        <f t="shared" si="5"/>
        <v>#REF!</v>
      </c>
      <c r="AG132" s="72" t="e">
        <f t="shared" si="5"/>
        <v>#REF!</v>
      </c>
      <c r="AH132" s="72"/>
      <c r="AI132" s="72"/>
      <c r="AJ132" s="72"/>
      <c r="AK132" s="72"/>
      <c r="AL132" s="72"/>
      <c r="AM132" s="72"/>
      <c r="AN132" s="26"/>
      <c r="AO132" s="115" t="e">
        <f t="shared" si="9"/>
        <v>#REF!</v>
      </c>
    </row>
    <row r="133" spans="2:41" x14ac:dyDescent="0.25">
      <c r="B133" s="30" t="s">
        <v>55</v>
      </c>
      <c r="C133" s="72" t="e">
        <f t="shared" si="8"/>
        <v>#REF!</v>
      </c>
      <c r="D133" s="72" t="e">
        <f t="shared" si="5"/>
        <v>#REF!</v>
      </c>
      <c r="E133" s="72" t="e">
        <f t="shared" si="5"/>
        <v>#REF!</v>
      </c>
      <c r="F133" s="72" t="e">
        <f t="shared" si="5"/>
        <v>#REF!</v>
      </c>
      <c r="G133" s="72" t="e">
        <f t="shared" si="5"/>
        <v>#REF!</v>
      </c>
      <c r="H133" s="72"/>
      <c r="I133" s="72" t="e">
        <f t="shared" si="6"/>
        <v>#REF!</v>
      </c>
      <c r="J133" s="72" t="e">
        <f t="shared" si="5"/>
        <v>#REF!</v>
      </c>
      <c r="K133" s="72" t="e">
        <f t="shared" si="5"/>
        <v>#REF!</v>
      </c>
      <c r="L133" s="72" t="e">
        <f t="shared" si="5"/>
        <v>#REF!</v>
      </c>
      <c r="M133" s="72" t="e">
        <f t="shared" si="5"/>
        <v>#REF!</v>
      </c>
      <c r="N133" s="72" t="e">
        <f t="shared" si="5"/>
        <v>#REF!</v>
      </c>
      <c r="O133" s="72" t="e">
        <f t="shared" si="5"/>
        <v>#REF!</v>
      </c>
      <c r="P133" s="72" t="e">
        <f t="shared" si="5"/>
        <v>#REF!</v>
      </c>
      <c r="Q133" s="72" t="e">
        <f t="shared" si="5"/>
        <v>#REF!</v>
      </c>
      <c r="R133" s="72" t="e">
        <f t="shared" si="7"/>
        <v>#REF!</v>
      </c>
      <c r="S133" s="72" t="e">
        <f t="shared" si="7"/>
        <v>#REF!</v>
      </c>
      <c r="T133" s="72" t="e">
        <f t="shared" si="5"/>
        <v>#REF!</v>
      </c>
      <c r="U133" s="72" t="e">
        <f t="shared" si="5"/>
        <v>#REF!</v>
      </c>
      <c r="V133" s="72" t="e">
        <f t="shared" si="5"/>
        <v>#REF!</v>
      </c>
      <c r="W133" s="72" t="e">
        <f t="shared" si="5"/>
        <v>#REF!</v>
      </c>
      <c r="X133" s="72" t="e">
        <f t="shared" si="5"/>
        <v>#REF!</v>
      </c>
      <c r="Y133" s="72" t="e">
        <f t="shared" si="5"/>
        <v>#REF!</v>
      </c>
      <c r="Z133" s="72" t="e">
        <f t="shared" si="5"/>
        <v>#REF!</v>
      </c>
      <c r="AA133" s="72" t="e">
        <f t="shared" si="5"/>
        <v>#REF!</v>
      </c>
      <c r="AB133" s="72" t="e">
        <f t="shared" si="5"/>
        <v>#REF!</v>
      </c>
      <c r="AC133" s="72" t="e">
        <f t="shared" si="5"/>
        <v>#REF!</v>
      </c>
      <c r="AD133" s="72" t="e">
        <f t="shared" si="5"/>
        <v>#REF!</v>
      </c>
      <c r="AE133" s="72" t="e">
        <f t="shared" si="5"/>
        <v>#REF!</v>
      </c>
      <c r="AF133" s="72" t="e">
        <f t="shared" si="5"/>
        <v>#REF!</v>
      </c>
      <c r="AG133" s="72" t="e">
        <f t="shared" si="5"/>
        <v>#REF!</v>
      </c>
      <c r="AH133" s="72" t="e">
        <f t="shared" si="5"/>
        <v>#REF!</v>
      </c>
      <c r="AI133" s="72" t="e">
        <f t="shared" si="5"/>
        <v>#REF!</v>
      </c>
      <c r="AJ133" s="72" t="e">
        <f t="shared" si="5"/>
        <v>#REF!</v>
      </c>
      <c r="AK133" s="72" t="e">
        <f t="shared" si="5"/>
        <v>#REF!</v>
      </c>
      <c r="AL133" s="72" t="e">
        <f t="shared" si="5"/>
        <v>#REF!</v>
      </c>
      <c r="AM133" s="72"/>
      <c r="AN133" s="26"/>
      <c r="AO133" s="115" t="e">
        <f t="shared" si="9"/>
        <v>#REF!</v>
      </c>
    </row>
    <row r="134" spans="2:41" x14ac:dyDescent="0.25">
      <c r="B134" s="30" t="s">
        <v>158</v>
      </c>
      <c r="C134" s="72" t="e">
        <f t="shared" si="8"/>
        <v>#REF!</v>
      </c>
      <c r="D134" s="72" t="e">
        <f t="shared" si="5"/>
        <v>#REF!</v>
      </c>
      <c r="E134" s="72" t="e">
        <f t="shared" si="5"/>
        <v>#REF!</v>
      </c>
      <c r="F134" s="72" t="e">
        <f t="shared" si="5"/>
        <v>#REF!</v>
      </c>
      <c r="G134" s="72" t="e">
        <f t="shared" si="5"/>
        <v>#REF!</v>
      </c>
      <c r="H134" s="72"/>
      <c r="I134" s="72" t="e">
        <f t="shared" si="6"/>
        <v>#REF!</v>
      </c>
      <c r="J134" s="72" t="e">
        <f t="shared" si="5"/>
        <v>#REF!</v>
      </c>
      <c r="K134" s="72" t="e">
        <f t="shared" si="5"/>
        <v>#REF!</v>
      </c>
      <c r="L134" s="72" t="e">
        <f t="shared" si="5"/>
        <v>#REF!</v>
      </c>
      <c r="M134" s="72" t="e">
        <f t="shared" si="5"/>
        <v>#REF!</v>
      </c>
      <c r="N134" s="72" t="e">
        <f t="shared" si="5"/>
        <v>#REF!</v>
      </c>
      <c r="O134" s="72" t="e">
        <f t="shared" si="5"/>
        <v>#REF!</v>
      </c>
      <c r="P134" s="72" t="e">
        <f t="shared" si="5"/>
        <v>#REF!</v>
      </c>
      <c r="Q134" s="72" t="e">
        <f t="shared" si="5"/>
        <v>#REF!</v>
      </c>
      <c r="R134" s="72" t="e">
        <f t="shared" si="7"/>
        <v>#REF!</v>
      </c>
      <c r="S134" s="72" t="e">
        <f t="shared" si="7"/>
        <v>#REF!</v>
      </c>
      <c r="T134" s="72" t="e">
        <f t="shared" si="5"/>
        <v>#REF!</v>
      </c>
      <c r="U134" s="72" t="e">
        <f t="shared" si="5"/>
        <v>#REF!</v>
      </c>
      <c r="V134" s="72" t="e">
        <f t="shared" si="5"/>
        <v>#REF!</v>
      </c>
      <c r="W134" s="72" t="e">
        <f t="shared" si="5"/>
        <v>#REF!</v>
      </c>
      <c r="X134" s="72" t="e">
        <f t="shared" si="5"/>
        <v>#REF!</v>
      </c>
      <c r="Y134" s="72" t="e">
        <f t="shared" si="5"/>
        <v>#REF!</v>
      </c>
      <c r="Z134" s="72" t="e">
        <f t="shared" si="5"/>
        <v>#REF!</v>
      </c>
      <c r="AA134" s="72" t="e">
        <f t="shared" si="5"/>
        <v>#REF!</v>
      </c>
      <c r="AB134" s="72" t="e">
        <f t="shared" si="5"/>
        <v>#REF!</v>
      </c>
      <c r="AC134" s="72" t="e">
        <f t="shared" si="5"/>
        <v>#REF!</v>
      </c>
      <c r="AD134" s="72" t="e">
        <f t="shared" si="5"/>
        <v>#REF!</v>
      </c>
      <c r="AE134" s="72" t="e">
        <f t="shared" si="5"/>
        <v>#REF!</v>
      </c>
      <c r="AF134" s="72" t="e">
        <f t="shared" si="5"/>
        <v>#REF!</v>
      </c>
      <c r="AG134" s="72"/>
      <c r="AH134" s="72"/>
      <c r="AI134" s="72"/>
      <c r="AJ134" s="72"/>
      <c r="AK134" s="72"/>
      <c r="AL134" s="72"/>
      <c r="AM134" s="72"/>
      <c r="AN134" s="26"/>
      <c r="AO134" s="115" t="e">
        <f t="shared" si="9"/>
        <v>#REF!</v>
      </c>
    </row>
    <row r="135" spans="2:41" x14ac:dyDescent="0.25">
      <c r="B135" s="30" t="s">
        <v>119</v>
      </c>
      <c r="C135" s="72" t="e">
        <f t="shared" si="8"/>
        <v>#REF!</v>
      </c>
      <c r="D135" s="72" t="e">
        <f t="shared" si="5"/>
        <v>#REF!</v>
      </c>
      <c r="E135" s="72" t="e">
        <f t="shared" si="5"/>
        <v>#REF!</v>
      </c>
      <c r="F135" s="72" t="e">
        <f t="shared" si="5"/>
        <v>#REF!</v>
      </c>
      <c r="G135" s="72" t="e">
        <f t="shared" si="5"/>
        <v>#REF!</v>
      </c>
      <c r="H135" s="72"/>
      <c r="I135" s="72" t="e">
        <f t="shared" si="6"/>
        <v>#REF!</v>
      </c>
      <c r="J135" s="72" t="e">
        <f t="shared" si="5"/>
        <v>#REF!</v>
      </c>
      <c r="K135" s="72" t="e">
        <f t="shared" si="5"/>
        <v>#REF!</v>
      </c>
      <c r="L135" s="72" t="e">
        <f t="shared" si="5"/>
        <v>#REF!</v>
      </c>
      <c r="M135" s="72" t="e">
        <f t="shared" si="5"/>
        <v>#REF!</v>
      </c>
      <c r="N135" s="72" t="e">
        <f t="shared" si="5"/>
        <v>#REF!</v>
      </c>
      <c r="O135" s="72" t="e">
        <f t="shared" si="5"/>
        <v>#REF!</v>
      </c>
      <c r="P135" s="72" t="e">
        <f t="shared" si="5"/>
        <v>#REF!</v>
      </c>
      <c r="Q135" s="72" t="e">
        <f t="shared" si="5"/>
        <v>#REF!</v>
      </c>
      <c r="R135" s="72" t="e">
        <f t="shared" si="7"/>
        <v>#REF!</v>
      </c>
      <c r="S135" s="72" t="e">
        <f t="shared" si="7"/>
        <v>#REF!</v>
      </c>
      <c r="T135" s="72" t="e">
        <f t="shared" si="5"/>
        <v>#REF!</v>
      </c>
      <c r="U135" s="72" t="e">
        <f t="shared" si="5"/>
        <v>#REF!</v>
      </c>
      <c r="V135" s="72" t="e">
        <f t="shared" si="5"/>
        <v>#REF!</v>
      </c>
      <c r="W135" s="72" t="e">
        <f t="shared" si="5"/>
        <v>#REF!</v>
      </c>
      <c r="X135" s="72" t="e">
        <f t="shared" si="5"/>
        <v>#REF!</v>
      </c>
      <c r="Y135" s="72" t="e">
        <f t="shared" si="5"/>
        <v>#REF!</v>
      </c>
      <c r="Z135" s="72" t="e">
        <f t="shared" si="5"/>
        <v>#REF!</v>
      </c>
      <c r="AA135" s="72" t="e">
        <f t="shared" si="5"/>
        <v>#REF!</v>
      </c>
      <c r="AB135" s="72" t="e">
        <f t="shared" si="5"/>
        <v>#REF!</v>
      </c>
      <c r="AC135" s="72" t="e">
        <f t="shared" si="5"/>
        <v>#REF!</v>
      </c>
      <c r="AD135" s="72" t="e">
        <f t="shared" si="5"/>
        <v>#REF!</v>
      </c>
      <c r="AE135" s="72" t="e">
        <f t="shared" si="5"/>
        <v>#REF!</v>
      </c>
      <c r="AF135" s="72" t="e">
        <f t="shared" si="5"/>
        <v>#REF!</v>
      </c>
      <c r="AG135" s="72" t="e">
        <f t="shared" si="5"/>
        <v>#REF!</v>
      </c>
      <c r="AH135" s="72" t="e">
        <f t="shared" si="5"/>
        <v>#REF!</v>
      </c>
      <c r="AI135" s="72" t="e">
        <f t="shared" si="5"/>
        <v>#REF!</v>
      </c>
      <c r="AJ135" s="72" t="e">
        <f t="shared" si="5"/>
        <v>#REF!</v>
      </c>
      <c r="AK135" s="72" t="e">
        <f t="shared" si="5"/>
        <v>#REF!</v>
      </c>
      <c r="AL135" s="72" t="e">
        <f t="shared" si="5"/>
        <v>#REF!</v>
      </c>
      <c r="AM135" s="72"/>
      <c r="AN135" s="26"/>
      <c r="AO135" s="115" t="e">
        <f t="shared" si="9"/>
        <v>#REF!</v>
      </c>
    </row>
    <row r="136" spans="2:41" x14ac:dyDescent="0.25">
      <c r="B136" s="30" t="s">
        <v>154</v>
      </c>
      <c r="C136" s="72" t="e">
        <f t="shared" si="8"/>
        <v>#REF!</v>
      </c>
      <c r="D136" s="72" t="e">
        <f t="shared" si="5"/>
        <v>#REF!</v>
      </c>
      <c r="E136" s="72" t="e">
        <f t="shared" si="5"/>
        <v>#REF!</v>
      </c>
      <c r="F136" s="72" t="e">
        <f t="shared" si="5"/>
        <v>#REF!</v>
      </c>
      <c r="G136" s="72" t="e">
        <f t="shared" si="5"/>
        <v>#REF!</v>
      </c>
      <c r="H136" s="72"/>
      <c r="I136" s="72" t="e">
        <f t="shared" si="6"/>
        <v>#REF!</v>
      </c>
      <c r="J136" s="72" t="e">
        <f t="shared" si="5"/>
        <v>#REF!</v>
      </c>
      <c r="K136" s="72" t="e">
        <f t="shared" si="5"/>
        <v>#REF!</v>
      </c>
      <c r="L136" s="72" t="e">
        <f t="shared" si="5"/>
        <v>#REF!</v>
      </c>
      <c r="M136" s="72" t="e">
        <f t="shared" si="5"/>
        <v>#REF!</v>
      </c>
      <c r="N136" s="72" t="e">
        <f t="shared" si="5"/>
        <v>#REF!</v>
      </c>
      <c r="O136" s="72" t="e">
        <f t="shared" si="5"/>
        <v>#REF!</v>
      </c>
      <c r="P136" s="72" t="e">
        <f t="shared" si="5"/>
        <v>#REF!</v>
      </c>
      <c r="Q136" s="72" t="e">
        <f t="shared" si="5"/>
        <v>#REF!</v>
      </c>
      <c r="R136" s="72" t="e">
        <f t="shared" si="7"/>
        <v>#REF!</v>
      </c>
      <c r="S136" s="72" t="e">
        <f t="shared" si="7"/>
        <v>#REF!</v>
      </c>
      <c r="T136" s="72" t="e">
        <f t="shared" si="5"/>
        <v>#REF!</v>
      </c>
      <c r="U136" s="72" t="e">
        <f t="shared" si="5"/>
        <v>#REF!</v>
      </c>
      <c r="V136" s="72" t="e">
        <f t="shared" si="5"/>
        <v>#REF!</v>
      </c>
      <c r="W136" s="72" t="e">
        <f t="shared" si="5"/>
        <v>#REF!</v>
      </c>
      <c r="X136" s="72" t="e">
        <f t="shared" si="5"/>
        <v>#REF!</v>
      </c>
      <c r="Y136" s="72" t="e">
        <f t="shared" si="5"/>
        <v>#REF!</v>
      </c>
      <c r="Z136" s="72" t="e">
        <f t="shared" si="5"/>
        <v>#REF!</v>
      </c>
      <c r="AA136" s="72" t="e">
        <f t="shared" si="5"/>
        <v>#REF!</v>
      </c>
      <c r="AB136" s="72" t="e">
        <f t="shared" si="5"/>
        <v>#REF!</v>
      </c>
      <c r="AC136" s="72" t="e">
        <f t="shared" si="5"/>
        <v>#REF!</v>
      </c>
      <c r="AD136" s="72" t="e">
        <f t="shared" ref="D136:AG139" si="10">(AD122-AC122)/AC122</f>
        <v>#REF!</v>
      </c>
      <c r="AE136" s="72" t="e">
        <f t="shared" si="10"/>
        <v>#REF!</v>
      </c>
      <c r="AF136" s="72" t="e">
        <f t="shared" si="10"/>
        <v>#REF!</v>
      </c>
      <c r="AG136" s="72" t="e">
        <f t="shared" si="10"/>
        <v>#REF!</v>
      </c>
      <c r="AH136" s="72"/>
      <c r="AI136" s="72"/>
      <c r="AJ136" s="72"/>
      <c r="AK136" s="72"/>
      <c r="AL136" s="72"/>
      <c r="AM136" s="72"/>
      <c r="AN136" s="26"/>
      <c r="AO136" s="115" t="e">
        <f t="shared" si="9"/>
        <v>#REF!</v>
      </c>
    </row>
    <row r="137" spans="2:41" x14ac:dyDescent="0.25">
      <c r="B137" s="30" t="s">
        <v>138</v>
      </c>
      <c r="C137" s="72" t="e">
        <f t="shared" si="8"/>
        <v>#REF!</v>
      </c>
      <c r="D137" s="72" t="e">
        <f t="shared" si="10"/>
        <v>#REF!</v>
      </c>
      <c r="E137" s="72" t="e">
        <f t="shared" si="10"/>
        <v>#REF!</v>
      </c>
      <c r="F137" s="72" t="e">
        <f t="shared" si="10"/>
        <v>#REF!</v>
      </c>
      <c r="G137" s="72" t="e">
        <f t="shared" si="10"/>
        <v>#REF!</v>
      </c>
      <c r="H137" s="72"/>
      <c r="I137" s="72" t="e">
        <f t="shared" si="6"/>
        <v>#REF!</v>
      </c>
      <c r="J137" s="72" t="e">
        <f t="shared" si="10"/>
        <v>#REF!</v>
      </c>
      <c r="K137" s="72" t="e">
        <f t="shared" si="10"/>
        <v>#REF!</v>
      </c>
      <c r="L137" s="72" t="e">
        <f t="shared" si="10"/>
        <v>#REF!</v>
      </c>
      <c r="M137" s="72" t="e">
        <f t="shared" si="10"/>
        <v>#REF!</v>
      </c>
      <c r="N137" s="72" t="e">
        <f t="shared" si="10"/>
        <v>#REF!</v>
      </c>
      <c r="O137" s="72" t="e">
        <f t="shared" si="10"/>
        <v>#REF!</v>
      </c>
      <c r="P137" s="72" t="e">
        <f t="shared" si="10"/>
        <v>#REF!</v>
      </c>
      <c r="Q137" s="72" t="e">
        <f t="shared" si="10"/>
        <v>#REF!</v>
      </c>
      <c r="R137" s="72" t="e">
        <f t="shared" si="7"/>
        <v>#REF!</v>
      </c>
      <c r="S137" s="72" t="e">
        <f t="shared" si="7"/>
        <v>#REF!</v>
      </c>
      <c r="T137" s="72" t="e">
        <f t="shared" si="10"/>
        <v>#REF!</v>
      </c>
      <c r="U137" s="72" t="e">
        <f t="shared" si="10"/>
        <v>#REF!</v>
      </c>
      <c r="V137" s="72" t="e">
        <f t="shared" si="10"/>
        <v>#REF!</v>
      </c>
      <c r="W137" s="72" t="e">
        <f t="shared" si="10"/>
        <v>#REF!</v>
      </c>
      <c r="X137" s="72" t="e">
        <f t="shared" si="10"/>
        <v>#REF!</v>
      </c>
      <c r="Y137" s="72" t="e">
        <f t="shared" si="10"/>
        <v>#REF!</v>
      </c>
      <c r="Z137" s="72" t="e">
        <f t="shared" si="10"/>
        <v>#REF!</v>
      </c>
      <c r="AA137" s="72" t="e">
        <f t="shared" si="10"/>
        <v>#REF!</v>
      </c>
      <c r="AB137" s="72" t="e">
        <f t="shared" si="10"/>
        <v>#REF!</v>
      </c>
      <c r="AC137" s="72" t="e">
        <f t="shared" si="10"/>
        <v>#REF!</v>
      </c>
      <c r="AD137" s="72"/>
      <c r="AE137" s="72"/>
      <c r="AF137" s="72"/>
      <c r="AG137" s="72"/>
      <c r="AH137" s="72"/>
      <c r="AI137" s="72"/>
      <c r="AJ137" s="72"/>
      <c r="AK137" s="72"/>
      <c r="AL137" s="72"/>
      <c r="AM137" s="72"/>
      <c r="AN137" s="26"/>
      <c r="AO137" s="115" t="e">
        <f t="shared" si="9"/>
        <v>#REF!</v>
      </c>
    </row>
    <row r="138" spans="2:41" x14ac:dyDescent="0.25">
      <c r="B138" s="30" t="s">
        <v>162</v>
      </c>
      <c r="C138" s="72" t="e">
        <f t="shared" si="8"/>
        <v>#REF!</v>
      </c>
      <c r="D138" s="72" t="e">
        <f t="shared" si="10"/>
        <v>#REF!</v>
      </c>
      <c r="E138" s="72" t="e">
        <f t="shared" si="10"/>
        <v>#REF!</v>
      </c>
      <c r="F138" s="72" t="e">
        <f t="shared" si="10"/>
        <v>#REF!</v>
      </c>
      <c r="G138" s="72" t="e">
        <f t="shared" si="10"/>
        <v>#REF!</v>
      </c>
      <c r="H138" s="72"/>
      <c r="I138" s="72" t="e">
        <f t="shared" si="6"/>
        <v>#REF!</v>
      </c>
      <c r="J138" s="72" t="e">
        <f t="shared" si="10"/>
        <v>#REF!</v>
      </c>
      <c r="K138" s="72" t="e">
        <f t="shared" si="10"/>
        <v>#REF!</v>
      </c>
      <c r="L138" s="72" t="e">
        <f t="shared" si="10"/>
        <v>#REF!</v>
      </c>
      <c r="M138" s="72" t="e">
        <f t="shared" si="10"/>
        <v>#REF!</v>
      </c>
      <c r="N138" s="72" t="e">
        <f t="shared" si="10"/>
        <v>#REF!</v>
      </c>
      <c r="O138" s="72" t="e">
        <f t="shared" si="10"/>
        <v>#REF!</v>
      </c>
      <c r="P138" s="72" t="e">
        <f t="shared" si="10"/>
        <v>#REF!</v>
      </c>
      <c r="Q138" s="72" t="e">
        <f t="shared" si="10"/>
        <v>#REF!</v>
      </c>
      <c r="R138" s="72" t="e">
        <f t="shared" si="7"/>
        <v>#REF!</v>
      </c>
      <c r="S138" s="72" t="e">
        <f t="shared" si="7"/>
        <v>#REF!</v>
      </c>
      <c r="T138" s="72" t="e">
        <f t="shared" si="10"/>
        <v>#REF!</v>
      </c>
      <c r="U138" s="72" t="e">
        <f t="shared" si="10"/>
        <v>#REF!</v>
      </c>
      <c r="V138" s="72" t="e">
        <f t="shared" si="10"/>
        <v>#REF!</v>
      </c>
      <c r="W138" s="72" t="e">
        <f t="shared" si="10"/>
        <v>#REF!</v>
      </c>
      <c r="X138" s="72" t="e">
        <f t="shared" si="10"/>
        <v>#REF!</v>
      </c>
      <c r="Y138" s="72" t="e">
        <f t="shared" si="10"/>
        <v>#REF!</v>
      </c>
      <c r="Z138" s="72" t="e">
        <f t="shared" si="10"/>
        <v>#REF!</v>
      </c>
      <c r="AA138" s="72" t="e">
        <f t="shared" si="10"/>
        <v>#REF!</v>
      </c>
      <c r="AB138" s="72" t="e">
        <f t="shared" si="10"/>
        <v>#REF!</v>
      </c>
      <c r="AC138" s="72" t="e">
        <f t="shared" si="10"/>
        <v>#REF!</v>
      </c>
      <c r="AD138" s="72" t="e">
        <f t="shared" si="10"/>
        <v>#REF!</v>
      </c>
      <c r="AE138" s="72" t="e">
        <f t="shared" si="10"/>
        <v>#REF!</v>
      </c>
      <c r="AF138" s="72" t="e">
        <f t="shared" si="10"/>
        <v>#REF!</v>
      </c>
      <c r="AG138" s="72" t="e">
        <f t="shared" si="10"/>
        <v>#REF!</v>
      </c>
      <c r="AH138" s="72"/>
      <c r="AI138" s="72"/>
      <c r="AJ138" s="72"/>
      <c r="AK138" s="72"/>
      <c r="AL138" s="72"/>
      <c r="AM138" s="72"/>
      <c r="AN138" s="26"/>
      <c r="AO138" s="115" t="e">
        <f t="shared" si="9"/>
        <v>#REF!</v>
      </c>
    </row>
    <row r="139" spans="2:41" ht="15.75" thickBot="1" x14ac:dyDescent="0.3">
      <c r="B139" s="69" t="s">
        <v>60</v>
      </c>
      <c r="C139" s="73" t="e">
        <f t="shared" si="8"/>
        <v>#REF!</v>
      </c>
      <c r="D139" s="73" t="e">
        <f t="shared" si="10"/>
        <v>#REF!</v>
      </c>
      <c r="E139" s="73" t="e">
        <f t="shared" si="10"/>
        <v>#REF!</v>
      </c>
      <c r="F139" s="73" t="e">
        <f t="shared" si="10"/>
        <v>#REF!</v>
      </c>
      <c r="G139" s="73" t="e">
        <f t="shared" si="10"/>
        <v>#REF!</v>
      </c>
      <c r="H139" s="73"/>
      <c r="I139" s="73" t="e">
        <f t="shared" si="6"/>
        <v>#REF!</v>
      </c>
      <c r="J139" s="73" t="e">
        <f t="shared" si="10"/>
        <v>#REF!</v>
      </c>
      <c r="K139" s="73" t="e">
        <f t="shared" si="10"/>
        <v>#REF!</v>
      </c>
      <c r="L139" s="73" t="e">
        <f t="shared" si="10"/>
        <v>#REF!</v>
      </c>
      <c r="M139" s="73" t="e">
        <f t="shared" si="10"/>
        <v>#REF!</v>
      </c>
      <c r="N139" s="73" t="e">
        <f t="shared" si="10"/>
        <v>#REF!</v>
      </c>
      <c r="O139" s="73" t="e">
        <f t="shared" si="10"/>
        <v>#REF!</v>
      </c>
      <c r="P139" s="73" t="e">
        <f t="shared" si="10"/>
        <v>#REF!</v>
      </c>
      <c r="Q139" s="73" t="e">
        <f t="shared" si="10"/>
        <v>#REF!</v>
      </c>
      <c r="R139" s="73" t="e">
        <f t="shared" si="7"/>
        <v>#REF!</v>
      </c>
      <c r="S139" s="73" t="e">
        <f t="shared" si="7"/>
        <v>#REF!</v>
      </c>
      <c r="T139" s="73" t="e">
        <f t="shared" si="10"/>
        <v>#REF!</v>
      </c>
      <c r="U139" s="73" t="e">
        <f t="shared" si="10"/>
        <v>#REF!</v>
      </c>
      <c r="V139" s="73" t="e">
        <f t="shared" si="10"/>
        <v>#REF!</v>
      </c>
      <c r="W139" s="73" t="e">
        <f t="shared" si="10"/>
        <v>#REF!</v>
      </c>
      <c r="X139" s="73" t="e">
        <f t="shared" si="10"/>
        <v>#REF!</v>
      </c>
      <c r="Y139" s="73" t="e">
        <f t="shared" si="10"/>
        <v>#REF!</v>
      </c>
      <c r="Z139" s="73" t="e">
        <f t="shared" si="10"/>
        <v>#REF!</v>
      </c>
      <c r="AA139" s="73" t="e">
        <f t="shared" si="10"/>
        <v>#REF!</v>
      </c>
      <c r="AB139" s="73" t="e">
        <f t="shared" si="10"/>
        <v>#REF!</v>
      </c>
      <c r="AC139" s="73" t="e">
        <f t="shared" si="10"/>
        <v>#REF!</v>
      </c>
      <c r="AD139" s="73" t="e">
        <f t="shared" si="10"/>
        <v>#REF!</v>
      </c>
      <c r="AE139" s="73" t="e">
        <f t="shared" si="10"/>
        <v>#REF!</v>
      </c>
      <c r="AF139" s="73" t="e">
        <f t="shared" si="10"/>
        <v>#REF!</v>
      </c>
      <c r="AG139" s="73"/>
      <c r="AH139" s="73"/>
      <c r="AI139" s="73"/>
      <c r="AJ139" s="73"/>
      <c r="AK139" s="73"/>
      <c r="AL139" s="73"/>
      <c r="AM139" s="73"/>
      <c r="AN139" s="27"/>
      <c r="AO139" s="115" t="e">
        <f t="shared" si="9"/>
        <v>#REF!</v>
      </c>
    </row>
    <row r="140" spans="2:41" ht="15.75" thickBot="1" x14ac:dyDescent="0.3">
      <c r="E140"/>
      <c r="AN140" s="66" t="s">
        <v>291</v>
      </c>
      <c r="AO140" s="76" t="e">
        <f>AVERAGE(AO129:AO139)</f>
        <v>#REF!</v>
      </c>
    </row>
    <row r="141" spans="2:41" x14ac:dyDescent="0.25">
      <c r="B141" s="96" t="s">
        <v>320</v>
      </c>
      <c r="C141" s="96" t="s">
        <v>321</v>
      </c>
      <c r="E141" s="28" t="s">
        <v>278</v>
      </c>
      <c r="F141" s="31" t="s">
        <v>288</v>
      </c>
      <c r="G141" s="31" t="s">
        <v>295</v>
      </c>
      <c r="H141" s="31" t="s">
        <v>323</v>
      </c>
      <c r="I141" s="29" t="s">
        <v>322</v>
      </c>
    </row>
    <row r="142" spans="2:41" x14ac:dyDescent="0.25">
      <c r="B142" s="104">
        <v>11652</v>
      </c>
      <c r="C142" s="43" t="s">
        <v>284</v>
      </c>
      <c r="D142" s="105"/>
      <c r="E142" s="30" t="s">
        <v>155</v>
      </c>
      <c r="F142" s="107">
        <v>14214.130434782608</v>
      </c>
      <c r="G142" s="109" t="s">
        <v>284</v>
      </c>
      <c r="H142" s="72" t="str">
        <f>IFERROR((F142-G142)/F142,"-")</f>
        <v>-</v>
      </c>
      <c r="I142" s="108">
        <v>18043</v>
      </c>
    </row>
    <row r="143" spans="2:41" x14ac:dyDescent="0.25">
      <c r="B143" s="104">
        <v>17692</v>
      </c>
      <c r="C143" s="43">
        <f>(B143-B142)/B142</f>
        <v>0.51836594576038453</v>
      </c>
      <c r="D143" s="105"/>
      <c r="E143" s="30" t="s">
        <v>14</v>
      </c>
      <c r="F143" s="107">
        <v>18092</v>
      </c>
      <c r="G143" s="109" t="s">
        <v>284</v>
      </c>
      <c r="H143" s="72" t="str">
        <f t="shared" ref="H143:H203" si="11">IFERROR((F143-G143)/F143,"-")</f>
        <v>-</v>
      </c>
      <c r="I143" s="108">
        <v>32523</v>
      </c>
    </row>
    <row r="144" spans="2:41" x14ac:dyDescent="0.25">
      <c r="B144" s="104">
        <v>18939</v>
      </c>
      <c r="C144" s="43">
        <f t="shared" ref="C144:C158" si="12">(B144-B143)/B143</f>
        <v>7.0483834501469597E-2</v>
      </c>
      <c r="D144" s="105"/>
      <c r="E144" s="30" t="s">
        <v>14</v>
      </c>
      <c r="F144" s="107">
        <v>18396.5</v>
      </c>
      <c r="G144" s="109" t="s">
        <v>284</v>
      </c>
      <c r="H144" s="72" t="str">
        <f t="shared" si="11"/>
        <v>-</v>
      </c>
      <c r="I144" s="108">
        <v>32523</v>
      </c>
    </row>
    <row r="145" spans="2:9" x14ac:dyDescent="0.25">
      <c r="B145" s="104">
        <v>22017</v>
      </c>
      <c r="C145" s="43">
        <f t="shared" si="12"/>
        <v>0.16252178045303342</v>
      </c>
      <c r="D145" s="105"/>
      <c r="E145" s="30" t="s">
        <v>14</v>
      </c>
      <c r="F145" s="107">
        <v>18559.5</v>
      </c>
      <c r="G145" s="109" t="s">
        <v>284</v>
      </c>
      <c r="H145" s="72" t="str">
        <f t="shared" si="11"/>
        <v>-</v>
      </c>
      <c r="I145" s="108">
        <v>32523</v>
      </c>
    </row>
    <row r="146" spans="2:9" x14ac:dyDescent="0.25">
      <c r="B146" s="104">
        <v>23000</v>
      </c>
      <c r="C146" s="43">
        <f t="shared" si="12"/>
        <v>4.46473179815597E-2</v>
      </c>
      <c r="D146" s="105"/>
      <c r="E146" s="30" t="s">
        <v>14</v>
      </c>
      <c r="F146" s="107">
        <v>19429</v>
      </c>
      <c r="G146" s="109" t="s">
        <v>284</v>
      </c>
      <c r="H146" s="72" t="str">
        <f t="shared" si="11"/>
        <v>-</v>
      </c>
      <c r="I146" s="108">
        <v>32523</v>
      </c>
    </row>
    <row r="147" spans="2:9" x14ac:dyDescent="0.25">
      <c r="B147" s="104">
        <v>24198</v>
      </c>
      <c r="C147" s="43">
        <f t="shared" si="12"/>
        <v>5.2086956521739128E-2</v>
      </c>
      <c r="D147" s="105"/>
      <c r="E147" s="30" t="s">
        <v>14</v>
      </c>
      <c r="F147" s="107">
        <v>20704.625</v>
      </c>
      <c r="G147" s="109">
        <v>20612.085261199329</v>
      </c>
      <c r="H147" s="72">
        <f t="shared" si="11"/>
        <v>4.469520157968151E-3</v>
      </c>
      <c r="I147" s="108">
        <v>32523</v>
      </c>
    </row>
    <row r="148" spans="2:9" x14ac:dyDescent="0.25">
      <c r="B148" s="104">
        <v>24500</v>
      </c>
      <c r="C148" s="43">
        <f t="shared" si="12"/>
        <v>1.2480370278535416E-2</v>
      </c>
      <c r="D148" s="105"/>
      <c r="E148" s="30" t="s">
        <v>14</v>
      </c>
      <c r="F148" s="107">
        <v>20991.5</v>
      </c>
      <c r="G148" s="109" t="s">
        <v>284</v>
      </c>
      <c r="H148" s="72" t="str">
        <f t="shared" si="11"/>
        <v>-</v>
      </c>
      <c r="I148" s="108">
        <v>32523</v>
      </c>
    </row>
    <row r="149" spans="2:9" x14ac:dyDescent="0.25">
      <c r="B149" s="104">
        <v>26502</v>
      </c>
      <c r="C149" s="43">
        <f t="shared" si="12"/>
        <v>8.1714285714285712E-2</v>
      </c>
      <c r="D149" s="105"/>
      <c r="E149" s="30" t="s">
        <v>14</v>
      </c>
      <c r="F149" s="107">
        <v>21179.1875</v>
      </c>
      <c r="G149" s="109" t="s">
        <v>284</v>
      </c>
      <c r="H149" s="72" t="str">
        <f t="shared" si="11"/>
        <v>-</v>
      </c>
      <c r="I149" s="108">
        <v>32523</v>
      </c>
    </row>
    <row r="150" spans="2:9" x14ac:dyDescent="0.25">
      <c r="B150" s="104">
        <v>26618</v>
      </c>
      <c r="C150" s="43">
        <f t="shared" si="12"/>
        <v>4.377028148818957E-3</v>
      </c>
      <c r="D150" s="105"/>
      <c r="E150" s="30" t="s">
        <v>14</v>
      </c>
      <c r="F150" s="107">
        <v>21382.413793103449</v>
      </c>
      <c r="G150" s="109" t="s">
        <v>284</v>
      </c>
      <c r="H150" s="72" t="str">
        <f t="shared" si="11"/>
        <v>-</v>
      </c>
      <c r="I150" s="108">
        <v>32523</v>
      </c>
    </row>
    <row r="151" spans="2:9" x14ac:dyDescent="0.25">
      <c r="B151" s="104">
        <v>27037</v>
      </c>
      <c r="C151" s="43">
        <f t="shared" si="12"/>
        <v>1.5741227740626643E-2</v>
      </c>
      <c r="D151" s="105"/>
      <c r="E151" s="30" t="s">
        <v>14</v>
      </c>
      <c r="F151" s="107">
        <v>21401</v>
      </c>
      <c r="G151" s="109" t="s">
        <v>284</v>
      </c>
      <c r="H151" s="72" t="str">
        <f t="shared" si="11"/>
        <v>-</v>
      </c>
      <c r="I151" s="108">
        <v>32523</v>
      </c>
    </row>
    <row r="152" spans="2:9" x14ac:dyDescent="0.25">
      <c r="B152" s="104">
        <v>29279</v>
      </c>
      <c r="C152" s="43">
        <f t="shared" si="12"/>
        <v>8.2923401264933236E-2</v>
      </c>
      <c r="D152" s="105"/>
      <c r="E152" s="30" t="s">
        <v>14</v>
      </c>
      <c r="F152" s="107">
        <v>21469.090909090908</v>
      </c>
      <c r="G152" s="109" t="s">
        <v>284</v>
      </c>
      <c r="H152" s="72" t="str">
        <f t="shared" si="11"/>
        <v>-</v>
      </c>
      <c r="I152" s="108">
        <v>32523</v>
      </c>
    </row>
    <row r="153" spans="2:9" x14ac:dyDescent="0.25">
      <c r="B153" s="104">
        <v>30655</v>
      </c>
      <c r="C153" s="43">
        <f t="shared" si="12"/>
        <v>4.6996140578571675E-2</v>
      </c>
      <c r="D153" s="105"/>
      <c r="E153" s="30" t="s">
        <v>14</v>
      </c>
      <c r="F153" s="107">
        <v>22356</v>
      </c>
      <c r="G153" s="109" t="s">
        <v>284</v>
      </c>
      <c r="H153" s="72" t="str">
        <f t="shared" si="11"/>
        <v>-</v>
      </c>
      <c r="I153" s="108">
        <v>32523</v>
      </c>
    </row>
    <row r="154" spans="2:9" x14ac:dyDescent="0.25">
      <c r="B154" s="104">
        <v>32208</v>
      </c>
      <c r="C154" s="43">
        <f t="shared" si="12"/>
        <v>5.0660577393573644E-2</v>
      </c>
      <c r="D154" s="105"/>
      <c r="E154" s="30" t="s">
        <v>14</v>
      </c>
      <c r="F154" s="107">
        <v>26599</v>
      </c>
      <c r="G154" s="109" t="s">
        <v>284</v>
      </c>
      <c r="H154" s="72" t="str">
        <f t="shared" si="11"/>
        <v>-</v>
      </c>
      <c r="I154" s="108">
        <v>32523</v>
      </c>
    </row>
    <row r="155" spans="2:9" x14ac:dyDescent="0.25">
      <c r="B155" s="104">
        <v>35429</v>
      </c>
      <c r="C155" s="43">
        <f t="shared" si="12"/>
        <v>0.10000620963735718</v>
      </c>
      <c r="D155" s="105"/>
      <c r="E155" s="30" t="s">
        <v>14</v>
      </c>
      <c r="F155" s="107">
        <v>28804</v>
      </c>
      <c r="G155" s="109" t="s">
        <v>284</v>
      </c>
      <c r="H155" s="72" t="str">
        <f t="shared" si="11"/>
        <v>-</v>
      </c>
      <c r="I155" s="108">
        <v>32523</v>
      </c>
    </row>
    <row r="156" spans="2:9" x14ac:dyDescent="0.25">
      <c r="B156" s="104">
        <v>41910</v>
      </c>
      <c r="C156" s="43">
        <f t="shared" si="12"/>
        <v>0.18292923875920855</v>
      </c>
      <c r="D156" s="105"/>
      <c r="E156" s="30" t="s">
        <v>156</v>
      </c>
      <c r="F156" s="107">
        <v>21018</v>
      </c>
      <c r="G156" s="109" t="s">
        <v>284</v>
      </c>
      <c r="H156" s="72" t="str">
        <f t="shared" si="11"/>
        <v>-</v>
      </c>
      <c r="I156" s="108">
        <v>30436</v>
      </c>
    </row>
    <row r="157" spans="2:9" x14ac:dyDescent="0.25">
      <c r="B157" s="104">
        <v>42007</v>
      </c>
      <c r="C157" s="43">
        <f t="shared" si="12"/>
        <v>2.3144834168456214E-3</v>
      </c>
      <c r="D157" s="105"/>
      <c r="E157" s="30" t="s">
        <v>71</v>
      </c>
      <c r="F157" s="107">
        <v>26341</v>
      </c>
      <c r="G157" s="109" t="s">
        <v>284</v>
      </c>
      <c r="H157" s="72" t="str">
        <f t="shared" si="11"/>
        <v>-</v>
      </c>
      <c r="I157" s="108">
        <v>36886</v>
      </c>
    </row>
    <row r="158" spans="2:9" x14ac:dyDescent="0.25">
      <c r="B158" s="104">
        <v>48500</v>
      </c>
      <c r="C158" s="43">
        <f t="shared" si="12"/>
        <v>0.15456947651581879</v>
      </c>
      <c r="D158" s="105"/>
      <c r="E158" s="30" t="s">
        <v>88</v>
      </c>
      <c r="F158" s="107">
        <v>39911.5</v>
      </c>
      <c r="G158" s="109"/>
      <c r="H158" s="72">
        <f t="shared" si="11"/>
        <v>1</v>
      </c>
      <c r="I158" s="108">
        <v>45928</v>
      </c>
    </row>
    <row r="159" spans="2:9" x14ac:dyDescent="0.25">
      <c r="B159" s="111" t="s">
        <v>256</v>
      </c>
      <c r="C159" s="112">
        <f>AVERAGE(C143:C158)</f>
        <v>9.8926142166672601E-2</v>
      </c>
      <c r="D159" s="106"/>
      <c r="E159" s="30" t="s">
        <v>55</v>
      </c>
      <c r="F159" s="107">
        <v>32162.807692307691</v>
      </c>
      <c r="G159" s="109">
        <v>24675.599805247355</v>
      </c>
      <c r="H159" s="72">
        <f t="shared" si="11"/>
        <v>0.23279086697555437</v>
      </c>
      <c r="I159" s="108">
        <v>44428</v>
      </c>
    </row>
    <row r="160" spans="2:9" x14ac:dyDescent="0.25">
      <c r="E160" s="30" t="s">
        <v>159</v>
      </c>
      <c r="F160" s="107">
        <v>50178</v>
      </c>
      <c r="G160" s="109" t="s">
        <v>284</v>
      </c>
      <c r="H160" s="72" t="str">
        <f t="shared" si="11"/>
        <v>-</v>
      </c>
      <c r="I160" s="108">
        <v>48396</v>
      </c>
    </row>
    <row r="161" spans="5:9" x14ac:dyDescent="0.25">
      <c r="E161" s="30" t="s">
        <v>160</v>
      </c>
      <c r="F161" s="107">
        <v>30726.923076923078</v>
      </c>
      <c r="G161" s="109" t="s">
        <v>284</v>
      </c>
      <c r="H161" s="72" t="str">
        <f t="shared" si="11"/>
        <v>-</v>
      </c>
      <c r="I161" s="108">
        <v>48396</v>
      </c>
    </row>
    <row r="162" spans="5:9" x14ac:dyDescent="0.25">
      <c r="E162" s="30" t="s">
        <v>160</v>
      </c>
      <c r="F162" s="107">
        <v>34939</v>
      </c>
      <c r="G162" s="109" t="s">
        <v>284</v>
      </c>
      <c r="H162" s="72" t="str">
        <f t="shared" si="11"/>
        <v>-</v>
      </c>
      <c r="I162" s="108">
        <v>48396</v>
      </c>
    </row>
    <row r="163" spans="5:9" x14ac:dyDescent="0.25">
      <c r="E163" s="30" t="s">
        <v>160</v>
      </c>
      <c r="F163" s="107">
        <v>36834</v>
      </c>
      <c r="G163" s="109" t="s">
        <v>284</v>
      </c>
      <c r="H163" s="72" t="str">
        <f t="shared" si="11"/>
        <v>-</v>
      </c>
      <c r="I163" s="108">
        <v>48396</v>
      </c>
    </row>
    <row r="164" spans="5:9" x14ac:dyDescent="0.25">
      <c r="E164" s="30" t="s">
        <v>160</v>
      </c>
      <c r="F164" s="107">
        <v>43568</v>
      </c>
      <c r="G164" s="109" t="s">
        <v>284</v>
      </c>
      <c r="H164" s="72" t="str">
        <f t="shared" si="11"/>
        <v>-</v>
      </c>
      <c r="I164" s="108">
        <v>48396</v>
      </c>
    </row>
    <row r="165" spans="5:9" x14ac:dyDescent="0.25">
      <c r="E165" s="30" t="s">
        <v>49</v>
      </c>
      <c r="F165" s="107">
        <v>43524</v>
      </c>
      <c r="G165" s="109" t="s">
        <v>284</v>
      </c>
      <c r="H165" s="72" t="str">
        <f t="shared" si="11"/>
        <v>-</v>
      </c>
      <c r="I165" s="108">
        <v>48396</v>
      </c>
    </row>
    <row r="166" spans="5:9" x14ac:dyDescent="0.25">
      <c r="E166" s="30" t="s">
        <v>88</v>
      </c>
      <c r="F166" s="107">
        <v>39911.5</v>
      </c>
      <c r="G166" s="109">
        <v>29747.168731679481</v>
      </c>
      <c r="H166" s="72">
        <f t="shared" si="11"/>
        <v>0.25467174293926609</v>
      </c>
      <c r="I166" s="108">
        <v>45928</v>
      </c>
    </row>
    <row r="167" spans="5:9" x14ac:dyDescent="0.25">
      <c r="E167" s="30" t="s">
        <v>158</v>
      </c>
      <c r="F167" s="107">
        <v>26427.125</v>
      </c>
      <c r="G167" s="109" t="s">
        <v>284</v>
      </c>
      <c r="H167" s="72" t="str">
        <f t="shared" si="11"/>
        <v>-</v>
      </c>
      <c r="I167" s="108">
        <v>41666</v>
      </c>
    </row>
    <row r="168" spans="5:9" x14ac:dyDescent="0.25">
      <c r="E168" s="30" t="s">
        <v>127</v>
      </c>
      <c r="F168" s="107">
        <v>36020</v>
      </c>
      <c r="G168" s="109" t="s">
        <v>284</v>
      </c>
      <c r="H168" s="72" t="str">
        <f t="shared" si="11"/>
        <v>-</v>
      </c>
      <c r="I168" s="108">
        <v>50575</v>
      </c>
    </row>
    <row r="169" spans="5:9" x14ac:dyDescent="0.25">
      <c r="E169" s="30" t="s">
        <v>128</v>
      </c>
      <c r="F169" s="107">
        <v>46161</v>
      </c>
      <c r="G169" s="109" t="s">
        <v>284</v>
      </c>
      <c r="H169" s="72" t="str">
        <f t="shared" si="11"/>
        <v>-</v>
      </c>
      <c r="I169" s="108">
        <v>50575</v>
      </c>
    </row>
    <row r="170" spans="5:9" x14ac:dyDescent="0.25">
      <c r="E170" s="30" t="s">
        <v>146</v>
      </c>
      <c r="F170" s="107">
        <v>27333</v>
      </c>
      <c r="G170" s="109" t="s">
        <v>284</v>
      </c>
      <c r="H170" s="72" t="str">
        <f t="shared" si="11"/>
        <v>-</v>
      </c>
      <c r="I170" s="108">
        <v>50575</v>
      </c>
    </row>
    <row r="171" spans="5:9" x14ac:dyDescent="0.25">
      <c r="E171" s="30" t="s">
        <v>153</v>
      </c>
      <c r="F171" s="107">
        <v>28996</v>
      </c>
      <c r="G171" s="109" t="s">
        <v>284</v>
      </c>
      <c r="H171" s="72" t="str">
        <f t="shared" si="11"/>
        <v>-</v>
      </c>
      <c r="I171" s="108">
        <v>50575</v>
      </c>
    </row>
    <row r="172" spans="5:9" x14ac:dyDescent="0.25">
      <c r="E172" s="30" t="s">
        <v>161</v>
      </c>
      <c r="F172" s="107">
        <v>28151</v>
      </c>
      <c r="G172" s="109" t="s">
        <v>284</v>
      </c>
      <c r="H172" s="72" t="str">
        <f t="shared" si="11"/>
        <v>-</v>
      </c>
      <c r="I172" s="108">
        <v>50575</v>
      </c>
    </row>
    <row r="173" spans="5:9" x14ac:dyDescent="0.25">
      <c r="E173" s="30" t="s">
        <v>161</v>
      </c>
      <c r="F173" s="107">
        <v>38898.5</v>
      </c>
      <c r="G173" s="109" t="s">
        <v>284</v>
      </c>
      <c r="H173" s="72" t="str">
        <f t="shared" si="11"/>
        <v>-</v>
      </c>
      <c r="I173" s="108">
        <v>50575</v>
      </c>
    </row>
    <row r="174" spans="5:9" x14ac:dyDescent="0.25">
      <c r="E174" s="30" t="s">
        <v>161</v>
      </c>
      <c r="F174" s="107">
        <v>41712</v>
      </c>
      <c r="G174" s="109" t="s">
        <v>284</v>
      </c>
      <c r="H174" s="72" t="str">
        <f t="shared" si="11"/>
        <v>-</v>
      </c>
      <c r="I174" s="108">
        <v>50575</v>
      </c>
    </row>
    <row r="175" spans="5:9" x14ac:dyDescent="0.25">
      <c r="E175" s="30" t="s">
        <v>68</v>
      </c>
      <c r="F175" s="107">
        <v>48990</v>
      </c>
      <c r="G175" s="109" t="s">
        <v>284</v>
      </c>
      <c r="H175" s="72" t="str">
        <f t="shared" si="11"/>
        <v>-</v>
      </c>
      <c r="I175" s="108">
        <v>52681</v>
      </c>
    </row>
    <row r="176" spans="5:9" x14ac:dyDescent="0.25">
      <c r="E176" s="30" t="s">
        <v>119</v>
      </c>
      <c r="F176" s="107">
        <v>56818.6</v>
      </c>
      <c r="G176" s="109">
        <v>34197.744251144097</v>
      </c>
      <c r="H176" s="72">
        <f t="shared" si="11"/>
        <v>0.39812413098625982</v>
      </c>
      <c r="I176" s="108">
        <v>52681</v>
      </c>
    </row>
    <row r="177" spans="3:9" x14ac:dyDescent="0.25">
      <c r="E177" s="30" t="s">
        <v>133</v>
      </c>
      <c r="F177" s="107">
        <v>45720.25</v>
      </c>
      <c r="G177" s="109" t="s">
        <v>284</v>
      </c>
      <c r="H177" s="72" t="str">
        <f t="shared" si="11"/>
        <v>-</v>
      </c>
      <c r="I177" s="108">
        <v>54167</v>
      </c>
    </row>
    <row r="178" spans="3:9" x14ac:dyDescent="0.25">
      <c r="E178" s="30" t="s">
        <v>147</v>
      </c>
      <c r="F178" s="107">
        <v>42643</v>
      </c>
      <c r="G178" s="109" t="s">
        <v>284</v>
      </c>
      <c r="H178" s="72" t="str">
        <f t="shared" si="11"/>
        <v>-</v>
      </c>
      <c r="I178" s="108">
        <v>54167</v>
      </c>
    </row>
    <row r="179" spans="3:9" x14ac:dyDescent="0.25">
      <c r="E179" s="30" t="s">
        <v>147</v>
      </c>
      <c r="F179" s="107">
        <v>42643</v>
      </c>
      <c r="G179" s="109" t="s">
        <v>284</v>
      </c>
      <c r="H179" s="72" t="str">
        <f t="shared" si="11"/>
        <v>-</v>
      </c>
      <c r="I179" s="108">
        <v>54167</v>
      </c>
    </row>
    <row r="180" spans="3:9" x14ac:dyDescent="0.25">
      <c r="E180" s="30" t="s">
        <v>15</v>
      </c>
      <c r="F180" s="107">
        <v>19718</v>
      </c>
      <c r="G180" s="109" t="s">
        <v>284</v>
      </c>
      <c r="H180" s="72" t="str">
        <f t="shared" si="11"/>
        <v>-</v>
      </c>
      <c r="I180" s="108">
        <v>54167</v>
      </c>
    </row>
    <row r="181" spans="3:9" x14ac:dyDescent="0.25">
      <c r="E181" s="30" t="s">
        <v>56</v>
      </c>
      <c r="F181" s="107">
        <v>26225.5</v>
      </c>
      <c r="G181" s="109" t="s">
        <v>284</v>
      </c>
      <c r="H181" s="72" t="str">
        <f t="shared" si="11"/>
        <v>-</v>
      </c>
      <c r="I181" s="108">
        <v>41488</v>
      </c>
    </row>
    <row r="182" spans="3:9" x14ac:dyDescent="0.25">
      <c r="E182" s="30" t="s">
        <v>154</v>
      </c>
      <c r="F182" s="107">
        <v>43011</v>
      </c>
      <c r="G182" s="109">
        <v>26669.952895527749</v>
      </c>
      <c r="H182" s="72">
        <f t="shared" si="11"/>
        <v>0.3799271605978064</v>
      </c>
      <c r="I182" s="108">
        <v>41488</v>
      </c>
    </row>
    <row r="183" spans="3:9" ht="15.75" thickBot="1" x14ac:dyDescent="0.3">
      <c r="E183" s="30" t="s">
        <v>141</v>
      </c>
      <c r="F183" s="107">
        <v>40433</v>
      </c>
      <c r="G183" s="109" t="s">
        <v>284</v>
      </c>
      <c r="H183" s="72" t="str">
        <f t="shared" si="11"/>
        <v>-</v>
      </c>
      <c r="I183" s="108">
        <v>57974</v>
      </c>
    </row>
    <row r="184" spans="3:9" ht="15.75" thickBot="1" x14ac:dyDescent="0.3">
      <c r="C184" s="119"/>
      <c r="E184" s="30" t="s">
        <v>141</v>
      </c>
      <c r="F184" s="107">
        <v>42709</v>
      </c>
      <c r="G184" s="109" t="s">
        <v>284</v>
      </c>
      <c r="H184" s="72" t="str">
        <f t="shared" si="11"/>
        <v>-</v>
      </c>
      <c r="I184" s="108">
        <v>57974</v>
      </c>
    </row>
    <row r="185" spans="3:9" x14ac:dyDescent="0.25">
      <c r="E185" s="30" t="s">
        <v>141</v>
      </c>
      <c r="F185" s="107">
        <v>43660.5</v>
      </c>
      <c r="G185" s="109" t="s">
        <v>284</v>
      </c>
      <c r="H185" s="72" t="str">
        <f t="shared" si="11"/>
        <v>-</v>
      </c>
      <c r="I185" s="108">
        <v>57974</v>
      </c>
    </row>
    <row r="186" spans="3:9" x14ac:dyDescent="0.25">
      <c r="E186" s="30" t="s">
        <v>141</v>
      </c>
      <c r="F186" s="107">
        <v>50443</v>
      </c>
      <c r="G186" s="109" t="s">
        <v>284</v>
      </c>
      <c r="H186" s="72" t="str">
        <f t="shared" si="11"/>
        <v>-</v>
      </c>
      <c r="I186" s="108">
        <v>57974</v>
      </c>
    </row>
    <row r="187" spans="3:9" x14ac:dyDescent="0.25">
      <c r="E187" s="30" t="s">
        <v>142</v>
      </c>
      <c r="F187" s="107">
        <v>61810</v>
      </c>
      <c r="G187" s="109" t="s">
        <v>284</v>
      </c>
      <c r="H187" s="72" t="str">
        <f t="shared" si="11"/>
        <v>-</v>
      </c>
      <c r="I187" s="108">
        <v>62000</v>
      </c>
    </row>
    <row r="188" spans="3:9" x14ac:dyDescent="0.25">
      <c r="E188" s="30" t="s">
        <v>143</v>
      </c>
      <c r="F188" s="107">
        <v>47694.666666666664</v>
      </c>
      <c r="G188" s="109" t="s">
        <v>284</v>
      </c>
      <c r="H188" s="72" t="str">
        <f t="shared" si="11"/>
        <v>-</v>
      </c>
      <c r="I188" s="108">
        <v>62000</v>
      </c>
    </row>
    <row r="189" spans="3:9" x14ac:dyDescent="0.25">
      <c r="E189" s="30" t="s">
        <v>151</v>
      </c>
      <c r="F189" s="107">
        <v>52741</v>
      </c>
      <c r="G189" s="109" t="s">
        <v>284</v>
      </c>
      <c r="H189" s="72" t="str">
        <f t="shared" si="11"/>
        <v>-</v>
      </c>
      <c r="I189" s="108">
        <v>62000</v>
      </c>
    </row>
    <row r="190" spans="3:9" x14ac:dyDescent="0.25">
      <c r="E190" s="30" t="s">
        <v>95</v>
      </c>
      <c r="F190" s="107">
        <v>60617</v>
      </c>
      <c r="G190" s="109" t="s">
        <v>284</v>
      </c>
      <c r="H190" s="72" t="str">
        <f t="shared" si="11"/>
        <v>-</v>
      </c>
      <c r="I190" s="108">
        <v>62000</v>
      </c>
    </row>
    <row r="191" spans="3:9" x14ac:dyDescent="0.25">
      <c r="E191" s="30" t="s">
        <v>138</v>
      </c>
      <c r="F191" s="107">
        <v>52470</v>
      </c>
      <c r="G191" s="109" t="s">
        <v>284</v>
      </c>
      <c r="H191" s="72" t="str">
        <f t="shared" si="11"/>
        <v>-</v>
      </c>
      <c r="I191" s="108">
        <v>60807</v>
      </c>
    </row>
    <row r="192" spans="3:9" x14ac:dyDescent="0.25">
      <c r="E192" s="30" t="s">
        <v>162</v>
      </c>
      <c r="F192" s="107">
        <v>51792.800000000003</v>
      </c>
      <c r="G192" s="109" t="s">
        <v>284</v>
      </c>
      <c r="H192" s="72" t="str">
        <f t="shared" si="11"/>
        <v>-</v>
      </c>
      <c r="I192" s="108">
        <v>67026</v>
      </c>
    </row>
    <row r="193" spans="5:9" x14ac:dyDescent="0.25">
      <c r="E193" s="30" t="s">
        <v>162</v>
      </c>
      <c r="F193" s="107">
        <v>52533</v>
      </c>
      <c r="G193" s="109" t="s">
        <v>284</v>
      </c>
      <c r="H193" s="72" t="str">
        <f t="shared" si="11"/>
        <v>-</v>
      </c>
      <c r="I193" s="108">
        <v>67026</v>
      </c>
    </row>
    <row r="194" spans="5:9" x14ac:dyDescent="0.25">
      <c r="E194" s="30" t="s">
        <v>162</v>
      </c>
      <c r="F194" s="107">
        <v>53954</v>
      </c>
      <c r="G194" s="109" t="s">
        <v>284</v>
      </c>
      <c r="H194" s="72" t="str">
        <f t="shared" si="11"/>
        <v>-</v>
      </c>
      <c r="I194" s="108">
        <v>67026</v>
      </c>
    </row>
    <row r="195" spans="5:9" x14ac:dyDescent="0.25">
      <c r="E195" s="30" t="s">
        <v>162</v>
      </c>
      <c r="F195" s="107">
        <v>56796</v>
      </c>
      <c r="G195" s="109" t="s">
        <v>284</v>
      </c>
      <c r="H195" s="72" t="str">
        <f t="shared" si="11"/>
        <v>-</v>
      </c>
      <c r="I195" s="108">
        <v>67026</v>
      </c>
    </row>
    <row r="196" spans="5:9" x14ac:dyDescent="0.25">
      <c r="E196" s="30" t="s">
        <v>60</v>
      </c>
      <c r="F196" s="107">
        <v>60772.111111111109</v>
      </c>
      <c r="G196" s="109">
        <v>38438.271003488007</v>
      </c>
      <c r="H196" s="72">
        <f t="shared" si="11"/>
        <v>0.36750146900096337</v>
      </c>
      <c r="I196" s="108">
        <v>65338</v>
      </c>
    </row>
    <row r="197" spans="5:9" x14ac:dyDescent="0.25">
      <c r="E197" s="30" t="s">
        <v>223</v>
      </c>
      <c r="F197" s="107">
        <v>5940</v>
      </c>
      <c r="G197" s="109" t="s">
        <v>284</v>
      </c>
      <c r="H197" s="72" t="str">
        <f t="shared" si="11"/>
        <v>-</v>
      </c>
      <c r="I197" s="26"/>
    </row>
    <row r="198" spans="5:9" x14ac:dyDescent="0.25">
      <c r="E198" s="30" t="s">
        <v>223</v>
      </c>
      <c r="F198" s="107">
        <v>12616.799999999997</v>
      </c>
      <c r="G198" s="109" t="s">
        <v>284</v>
      </c>
      <c r="H198" s="72" t="str">
        <f t="shared" si="11"/>
        <v>-</v>
      </c>
      <c r="I198" s="26"/>
    </row>
    <row r="199" spans="5:9" x14ac:dyDescent="0.25">
      <c r="E199" s="30" t="s">
        <v>223</v>
      </c>
      <c r="F199" s="107">
        <v>45295</v>
      </c>
      <c r="G199" s="109" t="s">
        <v>284</v>
      </c>
      <c r="H199" s="72" t="str">
        <f t="shared" si="11"/>
        <v>-</v>
      </c>
      <c r="I199" s="26"/>
    </row>
    <row r="200" spans="5:9" x14ac:dyDescent="0.25">
      <c r="E200" s="30" t="s">
        <v>223</v>
      </c>
      <c r="F200" s="107">
        <v>69939</v>
      </c>
      <c r="G200" s="109" t="s">
        <v>284</v>
      </c>
      <c r="H200" s="72" t="str">
        <f t="shared" si="11"/>
        <v>-</v>
      </c>
      <c r="I200" s="26"/>
    </row>
    <row r="201" spans="5:9" x14ac:dyDescent="0.25">
      <c r="E201" s="30" t="s">
        <v>223</v>
      </c>
      <c r="F201" s="107">
        <v>95491</v>
      </c>
      <c r="G201" s="109" t="s">
        <v>284</v>
      </c>
      <c r="H201" s="72" t="str">
        <f t="shared" si="11"/>
        <v>-</v>
      </c>
      <c r="I201" s="26"/>
    </row>
    <row r="202" spans="5:9" x14ac:dyDescent="0.25">
      <c r="E202" s="30" t="s">
        <v>223</v>
      </c>
      <c r="F202" s="107">
        <v>97263</v>
      </c>
      <c r="G202" s="109" t="s">
        <v>284</v>
      </c>
      <c r="H202" s="72" t="str">
        <f t="shared" si="11"/>
        <v>-</v>
      </c>
      <c r="I202" s="26"/>
    </row>
    <row r="203" spans="5:9" ht="15.75" thickBot="1" x14ac:dyDescent="0.3">
      <c r="E203" s="69" t="s">
        <v>118</v>
      </c>
      <c r="F203" s="91">
        <v>33668</v>
      </c>
      <c r="G203" s="118" t="s">
        <v>284</v>
      </c>
      <c r="H203" s="73" t="str">
        <f t="shared" si="11"/>
        <v>-</v>
      </c>
      <c r="I203" s="27"/>
    </row>
    <row r="204" spans="5:9" x14ac:dyDescent="0.25">
      <c r="E204" s="120" t="s">
        <v>337</v>
      </c>
      <c r="H204" s="74">
        <f>AVERAGE(H142:H196)</f>
        <v>0.37678355580825967</v>
      </c>
    </row>
    <row r="205" spans="5:9" x14ac:dyDescent="0.25">
      <c r="E205"/>
    </row>
    <row r="206" spans="5:9" x14ac:dyDescent="0.25">
      <c r="E206"/>
    </row>
    <row r="207" spans="5:9" x14ac:dyDescent="0.25">
      <c r="E207"/>
    </row>
    <row r="208" spans="5:9" x14ac:dyDescent="0.25">
      <c r="E208"/>
    </row>
    <row r="209" spans="5:5" x14ac:dyDescent="0.25">
      <c r="E209"/>
    </row>
    <row r="210" spans="5:5" x14ac:dyDescent="0.25">
      <c r="E210"/>
    </row>
    <row r="211" spans="5:5" x14ac:dyDescent="0.25">
      <c r="E211"/>
    </row>
    <row r="212" spans="5:5" x14ac:dyDescent="0.25">
      <c r="E212"/>
    </row>
    <row r="213" spans="5:5" x14ac:dyDescent="0.25">
      <c r="E213"/>
    </row>
    <row r="214" spans="5:5" x14ac:dyDescent="0.25">
      <c r="E214"/>
    </row>
    <row r="215" spans="5:5" x14ac:dyDescent="0.25">
      <c r="E215"/>
    </row>
    <row r="216" spans="5:5" x14ac:dyDescent="0.25">
      <c r="E216"/>
    </row>
    <row r="217" spans="5:5" x14ac:dyDescent="0.25">
      <c r="E217"/>
    </row>
    <row r="218" spans="5:5" x14ac:dyDescent="0.25">
      <c r="E218"/>
    </row>
    <row r="219" spans="5:5" x14ac:dyDescent="0.25">
      <c r="E219"/>
    </row>
    <row r="220" spans="5:5" x14ac:dyDescent="0.25">
      <c r="E220"/>
    </row>
    <row r="221" spans="5:5" x14ac:dyDescent="0.25">
      <c r="E221"/>
    </row>
    <row r="222" spans="5:5" x14ac:dyDescent="0.25">
      <c r="E222"/>
    </row>
    <row r="223" spans="5:5" x14ac:dyDescent="0.25">
      <c r="E223"/>
    </row>
    <row r="224" spans="5:5" x14ac:dyDescent="0.25">
      <c r="E224"/>
    </row>
    <row r="225" spans="5:5" x14ac:dyDescent="0.25">
      <c r="E225"/>
    </row>
    <row r="226" spans="5:5" x14ac:dyDescent="0.25">
      <c r="E226"/>
    </row>
    <row r="227" spans="5:5" x14ac:dyDescent="0.25">
      <c r="E227"/>
    </row>
    <row r="228" spans="5:5" x14ac:dyDescent="0.25">
      <c r="E228"/>
    </row>
    <row r="229" spans="5:5" x14ac:dyDescent="0.25">
      <c r="E229"/>
    </row>
    <row r="230" spans="5:5" x14ac:dyDescent="0.25">
      <c r="E230"/>
    </row>
    <row r="231" spans="5:5" x14ac:dyDescent="0.25">
      <c r="E231"/>
    </row>
    <row r="232" spans="5:5" x14ac:dyDescent="0.25">
      <c r="E232"/>
    </row>
    <row r="233" spans="5:5" x14ac:dyDescent="0.25">
      <c r="E233"/>
    </row>
    <row r="234" spans="5:5" x14ac:dyDescent="0.25">
      <c r="E234"/>
    </row>
    <row r="235" spans="5:5" x14ac:dyDescent="0.25">
      <c r="E235"/>
    </row>
    <row r="236" spans="5:5" x14ac:dyDescent="0.25">
      <c r="E236"/>
    </row>
    <row r="237" spans="5:5" x14ac:dyDescent="0.25">
      <c r="E237"/>
    </row>
    <row r="238" spans="5:5" x14ac:dyDescent="0.25">
      <c r="E238"/>
    </row>
    <row r="239" spans="5:5" x14ac:dyDescent="0.25">
      <c r="E239"/>
    </row>
    <row r="240" spans="5:5" x14ac:dyDescent="0.25">
      <c r="E240"/>
    </row>
    <row r="241" spans="5:5" x14ac:dyDescent="0.25">
      <c r="E241"/>
    </row>
    <row r="242" spans="5:5" x14ac:dyDescent="0.25">
      <c r="E242"/>
    </row>
    <row r="243" spans="5:5" x14ac:dyDescent="0.25">
      <c r="E243"/>
    </row>
    <row r="244" spans="5:5" x14ac:dyDescent="0.25">
      <c r="E244"/>
    </row>
    <row r="245" spans="5:5" x14ac:dyDescent="0.25">
      <c r="E245"/>
    </row>
    <row r="246" spans="5:5" x14ac:dyDescent="0.25">
      <c r="E246"/>
    </row>
    <row r="247" spans="5:5" x14ac:dyDescent="0.25">
      <c r="E247"/>
    </row>
    <row r="248" spans="5:5" x14ac:dyDescent="0.25">
      <c r="E248"/>
    </row>
    <row r="249" spans="5:5" x14ac:dyDescent="0.25">
      <c r="E249"/>
    </row>
    <row r="250" spans="5:5" x14ac:dyDescent="0.25">
      <c r="E250"/>
    </row>
    <row r="251" spans="5:5" x14ac:dyDescent="0.25">
      <c r="E251"/>
    </row>
    <row r="252" spans="5:5" x14ac:dyDescent="0.25">
      <c r="E252"/>
    </row>
    <row r="253" spans="5:5" x14ac:dyDescent="0.25">
      <c r="E253"/>
    </row>
    <row r="254" spans="5:5" x14ac:dyDescent="0.25">
      <c r="E254"/>
    </row>
    <row r="255" spans="5:5" x14ac:dyDescent="0.25">
      <c r="E255"/>
    </row>
    <row r="256" spans="5:5" x14ac:dyDescent="0.25">
      <c r="E256"/>
    </row>
    <row r="257" spans="5:5" x14ac:dyDescent="0.25">
      <c r="E257"/>
    </row>
    <row r="258" spans="5:5" x14ac:dyDescent="0.25">
      <c r="E258"/>
    </row>
    <row r="259" spans="5:5" x14ac:dyDescent="0.25">
      <c r="E259"/>
    </row>
    <row r="260" spans="5:5" x14ac:dyDescent="0.25">
      <c r="E260"/>
    </row>
    <row r="261" spans="5:5" x14ac:dyDescent="0.25">
      <c r="E261"/>
    </row>
    <row r="262" spans="5:5" x14ac:dyDescent="0.25">
      <c r="E262"/>
    </row>
    <row r="263" spans="5:5" x14ac:dyDescent="0.25">
      <c r="E263"/>
    </row>
    <row r="264" spans="5:5" x14ac:dyDescent="0.25">
      <c r="E264"/>
    </row>
    <row r="265" spans="5:5" x14ac:dyDescent="0.25">
      <c r="E265"/>
    </row>
    <row r="266" spans="5:5" x14ac:dyDescent="0.25">
      <c r="E266"/>
    </row>
    <row r="267" spans="5:5" x14ac:dyDescent="0.25">
      <c r="E267"/>
    </row>
    <row r="268" spans="5:5" x14ac:dyDescent="0.25">
      <c r="E268"/>
    </row>
    <row r="269" spans="5:5" x14ac:dyDescent="0.25">
      <c r="E269"/>
    </row>
    <row r="270" spans="5:5" x14ac:dyDescent="0.25">
      <c r="E270"/>
    </row>
    <row r="271" spans="5:5" x14ac:dyDescent="0.25">
      <c r="E271"/>
    </row>
    <row r="272" spans="5:5" x14ac:dyDescent="0.25">
      <c r="E272"/>
    </row>
    <row r="273" spans="5:5" x14ac:dyDescent="0.25">
      <c r="E273"/>
    </row>
    <row r="274" spans="5:5" x14ac:dyDescent="0.25">
      <c r="E274"/>
    </row>
    <row r="275" spans="5:5" x14ac:dyDescent="0.25">
      <c r="E275"/>
    </row>
    <row r="276" spans="5:5" x14ac:dyDescent="0.25">
      <c r="E276"/>
    </row>
    <row r="277" spans="5:5" x14ac:dyDescent="0.25">
      <c r="E277"/>
    </row>
    <row r="278" spans="5:5" x14ac:dyDescent="0.25">
      <c r="E278"/>
    </row>
    <row r="279" spans="5:5" x14ac:dyDescent="0.25">
      <c r="E279"/>
    </row>
    <row r="280" spans="5:5" x14ac:dyDescent="0.25">
      <c r="E280"/>
    </row>
    <row r="281" spans="5:5" x14ac:dyDescent="0.25">
      <c r="E281"/>
    </row>
    <row r="282" spans="5:5" x14ac:dyDescent="0.25">
      <c r="E282"/>
    </row>
    <row r="283" spans="5:5" x14ac:dyDescent="0.25">
      <c r="E283"/>
    </row>
    <row r="284" spans="5:5" x14ac:dyDescent="0.25">
      <c r="E284"/>
    </row>
    <row r="285" spans="5:5" x14ac:dyDescent="0.25">
      <c r="E285"/>
    </row>
    <row r="286" spans="5:5" x14ac:dyDescent="0.25">
      <c r="E286"/>
    </row>
    <row r="287" spans="5:5" x14ac:dyDescent="0.25">
      <c r="E287"/>
    </row>
    <row r="288" spans="5:5" x14ac:dyDescent="0.25">
      <c r="E288"/>
    </row>
    <row r="289" spans="1:5" x14ac:dyDescent="0.25">
      <c r="E289"/>
    </row>
    <row r="290" spans="1:5" x14ac:dyDescent="0.25">
      <c r="E290"/>
    </row>
    <row r="291" spans="1:5" x14ac:dyDescent="0.25">
      <c r="E291"/>
    </row>
    <row r="292" spans="1:5" x14ac:dyDescent="0.25">
      <c r="E292"/>
    </row>
    <row r="293" spans="1:5" x14ac:dyDescent="0.25">
      <c r="E293"/>
    </row>
    <row r="294" spans="1:5" x14ac:dyDescent="0.25">
      <c r="E294"/>
    </row>
    <row r="295" spans="1:5" x14ac:dyDescent="0.25">
      <c r="E295"/>
    </row>
    <row r="296" spans="1:5" x14ac:dyDescent="0.25">
      <c r="E296"/>
    </row>
    <row r="297" spans="1:5" x14ac:dyDescent="0.25">
      <c r="E297"/>
    </row>
    <row r="298" spans="1:5" x14ac:dyDescent="0.25">
      <c r="E298"/>
    </row>
    <row r="299" spans="1:5" x14ac:dyDescent="0.25">
      <c r="E299"/>
    </row>
    <row r="300" spans="1:5" x14ac:dyDescent="0.25">
      <c r="E300"/>
    </row>
    <row r="301" spans="1:5" x14ac:dyDescent="0.25">
      <c r="E301"/>
    </row>
    <row r="302" spans="1:5" x14ac:dyDescent="0.25">
      <c r="E302"/>
    </row>
    <row r="303" spans="1:5" x14ac:dyDescent="0.25">
      <c r="E303"/>
    </row>
    <row r="304" spans="1:5" x14ac:dyDescent="0.25">
      <c r="A304" s="33"/>
      <c r="E304"/>
    </row>
    <row r="305" spans="1:5" x14ac:dyDescent="0.25">
      <c r="A305" s="33"/>
      <c r="E305"/>
    </row>
    <row r="306" spans="1:5" x14ac:dyDescent="0.25">
      <c r="A306" s="33"/>
      <c r="E306"/>
    </row>
    <row r="307" spans="1:5" x14ac:dyDescent="0.25">
      <c r="A307" s="33"/>
      <c r="E307"/>
    </row>
    <row r="308" spans="1:5" x14ac:dyDescent="0.25">
      <c r="A308" s="33"/>
      <c r="E308"/>
    </row>
    <row r="309" spans="1:5" x14ac:dyDescent="0.25">
      <c r="A309" s="33"/>
      <c r="E309"/>
    </row>
    <row r="310" spans="1:5" x14ac:dyDescent="0.25">
      <c r="A310" s="33"/>
      <c r="E310"/>
    </row>
    <row r="311" spans="1:5" x14ac:dyDescent="0.25">
      <c r="A311" s="33"/>
      <c r="E311"/>
    </row>
    <row r="312" spans="1:5" x14ac:dyDescent="0.25">
      <c r="A312" s="33"/>
      <c r="E312"/>
    </row>
    <row r="313" spans="1:5" x14ac:dyDescent="0.25">
      <c r="A313" s="33"/>
      <c r="E313"/>
    </row>
    <row r="314" spans="1:5" x14ac:dyDescent="0.25">
      <c r="A314" s="33"/>
      <c r="E314"/>
    </row>
    <row r="315" spans="1:5" x14ac:dyDescent="0.25">
      <c r="A315" s="33"/>
      <c r="E315"/>
    </row>
    <row r="316" spans="1:5" x14ac:dyDescent="0.25">
      <c r="A316" s="33"/>
      <c r="E316"/>
    </row>
    <row r="317" spans="1:5" x14ac:dyDescent="0.25">
      <c r="A317" s="33"/>
      <c r="E317"/>
    </row>
    <row r="318" spans="1:5" x14ac:dyDescent="0.25">
      <c r="A318" s="33"/>
      <c r="E318"/>
    </row>
    <row r="319" spans="1:5" x14ac:dyDescent="0.25">
      <c r="A319" s="33"/>
      <c r="E319"/>
    </row>
    <row r="320" spans="1:5" x14ac:dyDescent="0.25">
      <c r="A320" s="33"/>
      <c r="E320"/>
    </row>
    <row r="321" spans="1:5" x14ac:dyDescent="0.25">
      <c r="A321" s="33"/>
      <c r="E321"/>
    </row>
    <row r="322" spans="1:5" x14ac:dyDescent="0.25">
      <c r="A322" s="33"/>
      <c r="E322"/>
    </row>
    <row r="323" spans="1:5" x14ac:dyDescent="0.25">
      <c r="A323" s="33"/>
      <c r="E323"/>
    </row>
    <row r="324" spans="1:5" x14ac:dyDescent="0.25">
      <c r="A324" s="33"/>
      <c r="E324"/>
    </row>
    <row r="325" spans="1:5" x14ac:dyDescent="0.25">
      <c r="A325" s="33"/>
      <c r="E325"/>
    </row>
    <row r="326" spans="1:5" x14ac:dyDescent="0.25">
      <c r="A326" s="33"/>
      <c r="E326"/>
    </row>
  </sheetData>
  <autoFilter ref="A47:K110">
    <sortState ref="A48:K110">
      <sortCondition ref="B47:B110"/>
    </sortState>
  </autoFilter>
  <phoneticPr fontId="13" type="noConversion"/>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workbookViewId="0"/>
  </sheetViews>
  <sheetFormatPr defaultRowHeight="15" x14ac:dyDescent="0.25"/>
  <cols>
    <col min="1" max="1" width="16.42578125" customWidth="1"/>
  </cols>
  <sheetData>
    <row r="1" spans="1:2" x14ac:dyDescent="0.25">
      <c r="A1" t="s">
        <v>341</v>
      </c>
    </row>
    <row r="2" spans="1:2" x14ac:dyDescent="0.25">
      <c r="A2" t="s">
        <v>338</v>
      </c>
    </row>
    <row r="3" spans="1:2" x14ac:dyDescent="0.25">
      <c r="A3" t="s">
        <v>339</v>
      </c>
      <c r="B3" t="s">
        <v>342</v>
      </c>
    </row>
    <row r="4" spans="1:2" x14ac:dyDescent="0.25">
      <c r="A4" t="s">
        <v>340</v>
      </c>
      <c r="B4" t="s">
        <v>343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workbookViewId="0">
      <selection sqref="A1:A2"/>
    </sheetView>
  </sheetViews>
  <sheetFormatPr defaultRowHeight="15" x14ac:dyDescent="0.25"/>
  <cols>
    <col min="1" max="1" width="45.7109375" bestFit="1" customWidth="1"/>
    <col min="2" max="2" width="15.140625" customWidth="1"/>
    <col min="3" max="3" width="12.42578125" customWidth="1"/>
    <col min="4" max="4" width="17.42578125" customWidth="1"/>
    <col min="5" max="5" width="13.5703125" customWidth="1"/>
    <col min="6" max="6" width="13.85546875" customWidth="1"/>
    <col min="7" max="7" width="11" customWidth="1"/>
    <col min="8" max="8" width="21.140625" bestFit="1" customWidth="1"/>
    <col min="9" max="9" width="24.7109375" bestFit="1" customWidth="1"/>
  </cols>
  <sheetData>
    <row r="1" spans="1:9" ht="15.75" customHeight="1" x14ac:dyDescent="0.25">
      <c r="A1" s="362" t="s">
        <v>126</v>
      </c>
      <c r="B1" s="363" t="s">
        <v>249</v>
      </c>
      <c r="C1" s="364"/>
      <c r="D1" s="363" t="s">
        <v>250</v>
      </c>
      <c r="E1" s="364"/>
      <c r="F1" s="363" t="s">
        <v>251</v>
      </c>
      <c r="G1" s="364"/>
      <c r="H1" s="365" t="s">
        <v>252</v>
      </c>
      <c r="I1" s="362" t="s">
        <v>253</v>
      </c>
    </row>
    <row r="2" spans="1:9" ht="15.75" x14ac:dyDescent="0.25">
      <c r="A2" s="362"/>
      <c r="B2" s="5" t="s">
        <v>254</v>
      </c>
      <c r="C2" s="6" t="s">
        <v>255</v>
      </c>
      <c r="D2" s="5" t="s">
        <v>254</v>
      </c>
      <c r="E2" s="6" t="s">
        <v>255</v>
      </c>
      <c r="F2" s="5" t="s">
        <v>254</v>
      </c>
      <c r="G2" s="6" t="s">
        <v>255</v>
      </c>
      <c r="H2" s="365"/>
      <c r="I2" s="362"/>
    </row>
    <row r="3" spans="1:9" x14ac:dyDescent="0.25">
      <c r="A3" s="7" t="s">
        <v>128</v>
      </c>
      <c r="B3" s="8">
        <v>31405.389449901595</v>
      </c>
      <c r="C3" s="9">
        <v>-0.16501584948032416</v>
      </c>
      <c r="D3" s="8">
        <v>42452.27255611858</v>
      </c>
      <c r="E3" s="9">
        <v>-9.514696976931572E-2</v>
      </c>
      <c r="F3" s="8">
        <v>53499.15566233555</v>
      </c>
      <c r="G3" s="9">
        <v>-5.619369465408601E-2</v>
      </c>
      <c r="H3" s="9">
        <v>0.70350237966888773</v>
      </c>
      <c r="I3" s="10">
        <v>9</v>
      </c>
    </row>
    <row r="4" spans="1:9" x14ac:dyDescent="0.25">
      <c r="A4" s="7" t="s">
        <v>129</v>
      </c>
      <c r="B4" s="8">
        <v>30626.095738213833</v>
      </c>
      <c r="C4" s="9">
        <v>-4.4974328865132335E-2</v>
      </c>
      <c r="D4" s="8">
        <v>41215.634384429693</v>
      </c>
      <c r="E4" s="9">
        <v>1.2234723162154107E-2</v>
      </c>
      <c r="F4" s="8">
        <v>51805.173030645557</v>
      </c>
      <c r="G4" s="9">
        <v>4.4574474634420068E-2</v>
      </c>
      <c r="H4" s="9">
        <v>0.69153696486377292</v>
      </c>
      <c r="I4" s="10">
        <v>12</v>
      </c>
    </row>
    <row r="5" spans="1:9" x14ac:dyDescent="0.25">
      <c r="A5" s="7" t="s">
        <v>67</v>
      </c>
      <c r="B5" s="8">
        <v>49571.786745762518</v>
      </c>
      <c r="C5" s="9">
        <v>5.0451897488001544E-2</v>
      </c>
      <c r="D5" s="8">
        <v>65568.875318235368</v>
      </c>
      <c r="E5" s="9">
        <v>-7.0932720290758658E-2</v>
      </c>
      <c r="F5" s="8">
        <v>81565.963890708212</v>
      </c>
      <c r="G5" s="9">
        <v>-0.15237954468303402</v>
      </c>
      <c r="H5" s="9">
        <v>0.6454110139106618</v>
      </c>
      <c r="I5" s="10">
        <v>7</v>
      </c>
    </row>
    <row r="6" spans="1:9" x14ac:dyDescent="0.25">
      <c r="A6" s="7" t="s">
        <v>132</v>
      </c>
      <c r="B6" s="8">
        <v>26942.954351946315</v>
      </c>
      <c r="C6" s="9">
        <v>-0.10734857754338516</v>
      </c>
      <c r="D6" s="8">
        <v>36848.143821776124</v>
      </c>
      <c r="E6" s="9">
        <v>-1.5069867744577258E-2</v>
      </c>
      <c r="F6" s="8">
        <v>46753.333291605937</v>
      </c>
      <c r="G6" s="9">
        <v>3.4528181156241039E-2</v>
      </c>
      <c r="H6" s="9">
        <v>0.73527122084993446</v>
      </c>
      <c r="I6" s="10">
        <v>8</v>
      </c>
    </row>
    <row r="7" spans="1:9" x14ac:dyDescent="0.25">
      <c r="A7" s="7" t="s">
        <v>133</v>
      </c>
      <c r="B7" s="8">
        <v>28094.871299750524</v>
      </c>
      <c r="C7" s="9">
        <v>4.1277629465265822E-2</v>
      </c>
      <c r="D7" s="8">
        <v>41581.475367712854</v>
      </c>
      <c r="E7" s="9">
        <v>3.3977678068902012E-3</v>
      </c>
      <c r="F7" s="8">
        <v>55068.079435675201</v>
      </c>
      <c r="G7" s="9">
        <v>-1.6497986550297078E-2</v>
      </c>
      <c r="H7" s="9">
        <v>0.96007587463709765</v>
      </c>
      <c r="I7" s="10">
        <v>9</v>
      </c>
    </row>
    <row r="8" spans="1:9" x14ac:dyDescent="0.25">
      <c r="A8" s="7" t="s">
        <v>219</v>
      </c>
      <c r="B8" s="8">
        <v>104398.3421021284</v>
      </c>
      <c r="C8" s="9">
        <v>3.7445480368154213E-3</v>
      </c>
      <c r="D8" s="8">
        <v>128005.64598274708</v>
      </c>
      <c r="E8" s="9">
        <v>-2.3483593650389871E-2</v>
      </c>
      <c r="F8" s="8">
        <v>151612.94986336579</v>
      </c>
      <c r="G8" s="9">
        <v>-4.2668384011629645E-2</v>
      </c>
      <c r="H8" s="9">
        <v>0.45225438268980722</v>
      </c>
      <c r="I8" s="10">
        <v>5</v>
      </c>
    </row>
    <row r="9" spans="1:9" x14ac:dyDescent="0.25">
      <c r="A9" s="7" t="s">
        <v>77</v>
      </c>
      <c r="B9" s="8">
        <v>99785.256452755551</v>
      </c>
      <c r="C9" s="9">
        <v>4.8928141496918917E-2</v>
      </c>
      <c r="D9" s="8">
        <v>122453.05338259359</v>
      </c>
      <c r="E9" s="9">
        <v>2.0861223783773315E-2</v>
      </c>
      <c r="F9" s="8">
        <v>145120.8503124316</v>
      </c>
      <c r="G9" s="9">
        <v>1.0891857375149964E-3</v>
      </c>
      <c r="H9" s="9">
        <v>0.45433158636156534</v>
      </c>
      <c r="I9" s="10">
        <v>5</v>
      </c>
    </row>
    <row r="10" spans="1:9" x14ac:dyDescent="0.25">
      <c r="A10" s="7" t="s">
        <v>220</v>
      </c>
      <c r="B10" s="8">
        <v>108590.56574321177</v>
      </c>
      <c r="C10" s="9">
        <v>-3.5622416971051452E-2</v>
      </c>
      <c r="D10" s="8">
        <v>136886.62745258093</v>
      </c>
      <c r="E10" s="9">
        <v>-9.0501499958048834E-2</v>
      </c>
      <c r="F10" s="8">
        <v>165182.68916195005</v>
      </c>
      <c r="G10" s="9">
        <v>-0.12821993731772452</v>
      </c>
      <c r="H10" s="9">
        <v>0.52115138208749934</v>
      </c>
      <c r="I10" s="10">
        <v>7</v>
      </c>
    </row>
    <row r="11" spans="1:9" x14ac:dyDescent="0.25">
      <c r="A11" s="7" t="s">
        <v>105</v>
      </c>
      <c r="B11" s="8">
        <v>63191.194122985304</v>
      </c>
      <c r="C11" s="9">
        <v>0.13240225541005979</v>
      </c>
      <c r="D11" s="8">
        <v>82946.422301914441</v>
      </c>
      <c r="E11" s="9">
        <v>3.4240268135466663E-2</v>
      </c>
      <c r="F11" s="8">
        <v>102701.65048084359</v>
      </c>
      <c r="G11" s="9">
        <v>-3.1456916159299242E-2</v>
      </c>
      <c r="H11" s="9">
        <v>0.62525256732704571</v>
      </c>
      <c r="I11" s="10">
        <v>7</v>
      </c>
    </row>
    <row r="12" spans="1:9" x14ac:dyDescent="0.25">
      <c r="A12" s="7" t="s">
        <v>258</v>
      </c>
      <c r="B12" s="8">
        <v>61625.203113035466</v>
      </c>
      <c r="C12" s="9">
        <v>0.15736426422673488</v>
      </c>
      <c r="D12" s="8">
        <v>80241.677601389645</v>
      </c>
      <c r="E12" s="9">
        <v>6.7369949765766046E-2</v>
      </c>
      <c r="F12" s="8">
        <v>98858.152089743802</v>
      </c>
      <c r="G12" s="9">
        <v>6.6826367919582104E-3</v>
      </c>
      <c r="H12" s="9">
        <v>0.60418379325118232</v>
      </c>
      <c r="I12" s="10">
        <v>6</v>
      </c>
    </row>
    <row r="13" spans="1:9" x14ac:dyDescent="0.25">
      <c r="A13" s="7" t="s">
        <v>55</v>
      </c>
      <c r="B13" s="8">
        <v>24675.599805247355</v>
      </c>
      <c r="C13" s="9">
        <v>-7.029171366871538E-2</v>
      </c>
      <c r="D13" s="8">
        <v>32719.421160655664</v>
      </c>
      <c r="E13" s="9">
        <v>2.9942123165361316E-2</v>
      </c>
      <c r="F13" s="8">
        <v>40763.242516063976</v>
      </c>
      <c r="G13" s="9">
        <v>8.6036014400071331E-2</v>
      </c>
      <c r="H13" s="9">
        <v>0.65196561938873421</v>
      </c>
      <c r="I13" s="10">
        <v>17</v>
      </c>
    </row>
    <row r="14" spans="1:9" x14ac:dyDescent="0.25">
      <c r="A14" s="7" t="s">
        <v>88</v>
      </c>
      <c r="B14" s="8">
        <v>29747.168731679481</v>
      </c>
      <c r="C14" s="9">
        <v>-0.19345410477119401</v>
      </c>
      <c r="D14" s="8">
        <v>39788.680047860456</v>
      </c>
      <c r="E14" s="9">
        <v>-0.12198710885907749</v>
      </c>
      <c r="F14" s="8">
        <v>49830.19136404145</v>
      </c>
      <c r="G14" s="9">
        <v>-8.1500941244944558E-2</v>
      </c>
      <c r="H14" s="9">
        <v>0.6751238349273353</v>
      </c>
      <c r="I14" s="10">
        <v>9</v>
      </c>
    </row>
    <row r="15" spans="1:9" x14ac:dyDescent="0.25">
      <c r="A15" s="7" t="s">
        <v>111</v>
      </c>
      <c r="B15" s="8">
        <v>101104.51541972047</v>
      </c>
      <c r="C15" s="9">
        <v>-0.10168625920923809</v>
      </c>
      <c r="D15" s="8">
        <v>118588.65952919646</v>
      </c>
      <c r="E15" s="9">
        <v>-5.4740502626866791E-2</v>
      </c>
      <c r="F15" s="8">
        <v>136072.80363867246</v>
      </c>
      <c r="G15" s="9">
        <v>-2.1194879310189499E-2</v>
      </c>
      <c r="H15" s="9">
        <v>0.34586277451394037</v>
      </c>
      <c r="I15" s="10">
        <v>7</v>
      </c>
    </row>
    <row r="16" spans="1:9" x14ac:dyDescent="0.25">
      <c r="A16" s="7" t="s">
        <v>62</v>
      </c>
      <c r="B16" s="8">
        <v>87820.308450500117</v>
      </c>
      <c r="C16" s="9">
        <v>3.9083018649126201E-2</v>
      </c>
      <c r="D16" s="8">
        <v>108783.83880974479</v>
      </c>
      <c r="E16" s="9">
        <v>3.154128613215948E-2</v>
      </c>
      <c r="F16" s="8">
        <v>129747.36916898943</v>
      </c>
      <c r="G16" s="9">
        <v>2.6403610788568947E-2</v>
      </c>
      <c r="H16" s="9">
        <v>0.47741873671647928</v>
      </c>
      <c r="I16" s="10">
        <v>8</v>
      </c>
    </row>
    <row r="17" spans="1:9" x14ac:dyDescent="0.25">
      <c r="A17" s="7" t="s">
        <v>216</v>
      </c>
      <c r="B17" s="8">
        <v>93399.677266462051</v>
      </c>
      <c r="C17" s="9">
        <v>-2.2506167660521634E-2</v>
      </c>
      <c r="D17" s="8">
        <v>111331.27604738151</v>
      </c>
      <c r="E17" s="9">
        <v>8.3964096199483987E-3</v>
      </c>
      <c r="F17" s="8">
        <v>129262.87482830101</v>
      </c>
      <c r="G17" s="9">
        <v>3.0143987460367231E-2</v>
      </c>
      <c r="H17" s="9">
        <v>0.38397560474993964</v>
      </c>
      <c r="I17" s="10">
        <v>6</v>
      </c>
    </row>
    <row r="18" spans="1:9" x14ac:dyDescent="0.25">
      <c r="A18" s="7" t="s">
        <v>46</v>
      </c>
      <c r="B18" s="8">
        <v>101034.01495600346</v>
      </c>
      <c r="C18" s="9">
        <v>-0.10099050402429152</v>
      </c>
      <c r="D18" s="8">
        <v>121037.91545850135</v>
      </c>
      <c r="E18" s="9">
        <v>-7.5161748723959615E-2</v>
      </c>
      <c r="F18" s="8">
        <v>141041.81596099923</v>
      </c>
      <c r="G18" s="9">
        <v>-5.7046544790500871E-2</v>
      </c>
      <c r="H18" s="9">
        <v>0.39598348162663505</v>
      </c>
      <c r="I18" s="10">
        <v>9</v>
      </c>
    </row>
    <row r="19" spans="1:9" x14ac:dyDescent="0.25">
      <c r="A19" s="7" t="s">
        <v>217</v>
      </c>
      <c r="B19" s="8">
        <v>83792.061649945652</v>
      </c>
      <c r="C19" s="9">
        <v>8.5989454802690157E-2</v>
      </c>
      <c r="D19" s="8">
        <v>102627.51505776439</v>
      </c>
      <c r="E19" s="9">
        <v>8.9740311232949413E-2</v>
      </c>
      <c r="F19" s="8">
        <v>121462.96846558311</v>
      </c>
      <c r="G19" s="9">
        <v>9.2319307921523028E-2</v>
      </c>
      <c r="H19" s="9">
        <v>0.44957608243384101</v>
      </c>
      <c r="I19" s="10">
        <v>8</v>
      </c>
    </row>
    <row r="20" spans="1:9" x14ac:dyDescent="0.25">
      <c r="A20" s="7" t="s">
        <v>259</v>
      </c>
      <c r="B20" s="8">
        <v>94272.237737316915</v>
      </c>
      <c r="C20" s="9">
        <v>-3.1803289530343858E-2</v>
      </c>
      <c r="D20" s="8">
        <v>116089.60919708649</v>
      </c>
      <c r="E20" s="9">
        <v>-3.3452581308194208E-2</v>
      </c>
      <c r="F20" s="8">
        <v>137906.98065685609</v>
      </c>
      <c r="G20" s="9">
        <v>-3.4581567177726993E-2</v>
      </c>
      <c r="H20" s="9">
        <v>0.4628588857848519</v>
      </c>
      <c r="I20" s="10">
        <v>9</v>
      </c>
    </row>
    <row r="21" spans="1:9" x14ac:dyDescent="0.25">
      <c r="A21" s="7" t="s">
        <v>215</v>
      </c>
      <c r="B21" s="8">
        <v>96684.441881163584</v>
      </c>
      <c r="C21" s="9">
        <v>-5.7056240792793263E-2</v>
      </c>
      <c r="D21" s="8">
        <v>121099.06858436341</v>
      </c>
      <c r="E21" s="9">
        <v>-7.5666142372005793E-2</v>
      </c>
      <c r="F21" s="8">
        <v>145513.69528756323</v>
      </c>
      <c r="G21" s="9">
        <v>-8.8218536938259234E-2</v>
      </c>
      <c r="H21" s="9">
        <v>0.50503734061387529</v>
      </c>
      <c r="I21" s="10">
        <v>8</v>
      </c>
    </row>
    <row r="22" spans="1:9" x14ac:dyDescent="0.25">
      <c r="A22" s="7" t="s">
        <v>138</v>
      </c>
      <c r="B22" s="8">
        <v>38678.209225918436</v>
      </c>
      <c r="C22" s="9">
        <v>8.0205052454302955E-2</v>
      </c>
      <c r="D22" s="8">
        <v>51358.617234397992</v>
      </c>
      <c r="E22" s="9">
        <v>-2.2826652684363685E-6</v>
      </c>
      <c r="F22" s="8">
        <v>64039.025242877557</v>
      </c>
      <c r="G22" s="9">
        <v>-5.1776181686039591E-2</v>
      </c>
      <c r="H22" s="9">
        <v>0.65568744066787688</v>
      </c>
      <c r="I22" s="10">
        <v>10</v>
      </c>
    </row>
    <row r="23" spans="1:9" x14ac:dyDescent="0.25">
      <c r="A23" s="7" t="s">
        <v>139</v>
      </c>
      <c r="B23" s="8">
        <v>71521.989787841376</v>
      </c>
      <c r="C23" s="9">
        <v>8.7561372960564005E-3</v>
      </c>
      <c r="D23" s="8">
        <v>90118.867762743103</v>
      </c>
      <c r="E23" s="9">
        <v>-4.8681435383965688E-2</v>
      </c>
      <c r="F23" s="8">
        <v>108715.74573764483</v>
      </c>
      <c r="G23" s="9">
        <v>-8.8310501636720606E-2</v>
      </c>
      <c r="H23" s="9">
        <v>0.52003245519500818</v>
      </c>
      <c r="I23" s="10">
        <v>14</v>
      </c>
    </row>
    <row r="24" spans="1:9" x14ac:dyDescent="0.25">
      <c r="A24" s="7" t="s">
        <v>140</v>
      </c>
      <c r="B24" s="8">
        <v>85166.386001860708</v>
      </c>
      <c r="C24" s="9">
        <v>1.2689435877568097E-2</v>
      </c>
      <c r="D24" s="8">
        <v>106478.05059542765</v>
      </c>
      <c r="E24" s="9">
        <v>-3.8744617180470037E-2</v>
      </c>
      <c r="F24" s="8">
        <v>127789.71518899457</v>
      </c>
      <c r="G24" s="9">
        <v>-7.4527600079017875E-2</v>
      </c>
      <c r="H24" s="9">
        <v>0.50047126792726215</v>
      </c>
      <c r="I24" s="10">
        <v>16</v>
      </c>
    </row>
    <row r="25" spans="1:9" x14ac:dyDescent="0.25">
      <c r="A25" s="7" t="s">
        <v>141</v>
      </c>
      <c r="B25" s="8">
        <v>42670.380637436596</v>
      </c>
      <c r="C25" s="9">
        <v>-0.27944997069570088</v>
      </c>
      <c r="D25" s="8">
        <v>58251.929814270559</v>
      </c>
      <c r="E25" s="9">
        <v>-0.25470401967359696</v>
      </c>
      <c r="F25" s="8">
        <v>73833.478991104523</v>
      </c>
      <c r="G25" s="9">
        <v>-0.24064611678332537</v>
      </c>
      <c r="H25" s="9">
        <v>0.73032154595609988</v>
      </c>
      <c r="I25" s="10">
        <v>7</v>
      </c>
    </row>
    <row r="26" spans="1:9" x14ac:dyDescent="0.25">
      <c r="A26" s="7" t="s">
        <v>142</v>
      </c>
      <c r="B26" s="8">
        <v>47605.236866197934</v>
      </c>
      <c r="C26" s="9">
        <v>-0.29328232126270576</v>
      </c>
      <c r="D26" s="8">
        <v>61472.242613248942</v>
      </c>
      <c r="E26" s="9">
        <v>-0.23156583651861112</v>
      </c>
      <c r="F26" s="8">
        <v>75339.248360299956</v>
      </c>
      <c r="G26" s="9">
        <v>-0.19425253188084102</v>
      </c>
      <c r="H26" s="9">
        <v>0.58258320554213094</v>
      </c>
      <c r="I26" s="10">
        <v>8</v>
      </c>
    </row>
    <row r="27" spans="1:9" x14ac:dyDescent="0.25">
      <c r="A27" s="7" t="s">
        <v>78</v>
      </c>
      <c r="B27" s="8">
        <v>98227.710295654833</v>
      </c>
      <c r="C27" s="9">
        <v>-7.2875307723084634E-2</v>
      </c>
      <c r="D27" s="8">
        <v>123794.6346767619</v>
      </c>
      <c r="E27" s="9">
        <v>-9.7639654432289905E-2</v>
      </c>
      <c r="F27" s="8">
        <v>149361.55905786902</v>
      </c>
      <c r="G27" s="9">
        <v>-0.11425102357847074</v>
      </c>
      <c r="H27" s="9">
        <v>0.5205643968316761</v>
      </c>
      <c r="I27" s="10">
        <v>8</v>
      </c>
    </row>
    <row r="28" spans="1:9" x14ac:dyDescent="0.25">
      <c r="A28" s="7" t="s">
        <v>144</v>
      </c>
      <c r="B28" s="8">
        <v>84789.170035374787</v>
      </c>
      <c r="C28" s="9">
        <v>-4.2126281959245143E-2</v>
      </c>
      <c r="D28" s="8">
        <v>102472.50778365765</v>
      </c>
      <c r="E28" s="9">
        <v>-6.7697505689616355E-2</v>
      </c>
      <c r="F28" s="8">
        <v>120155.84553194053</v>
      </c>
      <c r="G28" s="9">
        <v>-8.6130927420279904E-2</v>
      </c>
      <c r="H28" s="9">
        <v>0.41711312284116542</v>
      </c>
      <c r="I28" s="10">
        <v>14</v>
      </c>
    </row>
    <row r="29" spans="1:9" x14ac:dyDescent="0.25">
      <c r="A29" s="7" t="s">
        <v>145</v>
      </c>
      <c r="B29" s="8">
        <v>100176.47297082502</v>
      </c>
      <c r="C29" s="9">
        <v>-3.5647925738872877E-3</v>
      </c>
      <c r="D29" s="8">
        <v>124075.55883145268</v>
      </c>
      <c r="E29" s="9">
        <v>-6.2811421549151855E-2</v>
      </c>
      <c r="F29" s="8">
        <v>147974.64469208036</v>
      </c>
      <c r="G29" s="9">
        <v>-0.10495005822936326</v>
      </c>
      <c r="H29" s="9">
        <v>0.47713969461847466</v>
      </c>
      <c r="I29" s="10">
        <v>16</v>
      </c>
    </row>
    <row r="30" spans="1:9" x14ac:dyDescent="0.25">
      <c r="A30" s="7" t="s">
        <v>146</v>
      </c>
      <c r="B30" s="8">
        <v>35634.567306617566</v>
      </c>
      <c r="C30" s="9">
        <v>-0.2896769626289481</v>
      </c>
      <c r="D30" s="8">
        <v>47703.952142847658</v>
      </c>
      <c r="E30" s="9">
        <v>-0.21106383377395685</v>
      </c>
      <c r="F30" s="8">
        <v>59773.336979077743</v>
      </c>
      <c r="G30" s="9">
        <v>-0.16671455557724926</v>
      </c>
      <c r="H30" s="9">
        <v>0.6773975804100042</v>
      </c>
      <c r="I30" s="10">
        <v>4</v>
      </c>
    </row>
    <row r="31" spans="1:9" x14ac:dyDescent="0.25">
      <c r="A31" s="7" t="s">
        <v>147</v>
      </c>
      <c r="B31" s="8">
        <v>40409.761479353634</v>
      </c>
      <c r="C31" s="9">
        <v>-0.31944208056133394</v>
      </c>
      <c r="D31" s="8">
        <v>54598.38512828415</v>
      </c>
      <c r="E31" s="9">
        <v>-0.26734219220656485</v>
      </c>
      <c r="F31" s="8">
        <v>68787.008777214665</v>
      </c>
      <c r="G31" s="9">
        <v>-0.23781264104540503</v>
      </c>
      <c r="H31" s="9">
        <v>0.7022374361788718</v>
      </c>
      <c r="I31" s="10">
        <v>5</v>
      </c>
    </row>
    <row r="32" spans="1:9" x14ac:dyDescent="0.25">
      <c r="A32" s="7" t="s">
        <v>212</v>
      </c>
      <c r="B32" s="8">
        <v>72532.803257231921</v>
      </c>
      <c r="C32" s="9">
        <v>-5.2777608638489605E-3</v>
      </c>
      <c r="D32" s="8">
        <v>89224.751422418325</v>
      </c>
      <c r="E32" s="9">
        <v>-3.8715147683118657E-2</v>
      </c>
      <c r="F32" s="8">
        <v>105916.69958760476</v>
      </c>
      <c r="G32" s="9">
        <v>-6.2264127766651141E-2</v>
      </c>
      <c r="H32" s="9">
        <v>0.46025928726316362</v>
      </c>
      <c r="I32" s="10">
        <v>5</v>
      </c>
    </row>
    <row r="33" spans="1:9" x14ac:dyDescent="0.25">
      <c r="A33" s="7" t="s">
        <v>148</v>
      </c>
      <c r="B33" s="8">
        <v>36958.383293672683</v>
      </c>
      <c r="C33" s="9">
        <v>0.12556658319949526</v>
      </c>
      <c r="D33" s="8">
        <v>51921.4564686632</v>
      </c>
      <c r="E33" s="9">
        <v>-1.0901562857145669E-2</v>
      </c>
      <c r="F33" s="8">
        <v>66884.529643653732</v>
      </c>
      <c r="G33" s="9">
        <v>-9.5190803346379763E-2</v>
      </c>
      <c r="H33" s="9">
        <v>0.80972552592971347</v>
      </c>
      <c r="I33" s="10">
        <v>8</v>
      </c>
    </row>
    <row r="34" spans="1:9" x14ac:dyDescent="0.25">
      <c r="A34" s="7" t="s">
        <v>119</v>
      </c>
      <c r="B34" s="8">
        <v>34197.744251144097</v>
      </c>
      <c r="C34" s="9">
        <v>-0.23387847336392875</v>
      </c>
      <c r="D34" s="8">
        <v>45757.882797193975</v>
      </c>
      <c r="E34" s="9">
        <v>-0.13779718682743974</v>
      </c>
      <c r="F34" s="8">
        <v>57318.021343243861</v>
      </c>
      <c r="G34" s="9">
        <v>-8.4310229066027365E-2</v>
      </c>
      <c r="H34" s="9">
        <v>0.67607608625607718</v>
      </c>
      <c r="I34" s="10">
        <v>11</v>
      </c>
    </row>
    <row r="35" spans="1:9" x14ac:dyDescent="0.25">
      <c r="A35" s="7" t="s">
        <v>149</v>
      </c>
      <c r="B35" s="8">
        <v>77001.657696549606</v>
      </c>
      <c r="C35" s="9">
        <v>7.9079475718302067E-3</v>
      </c>
      <c r="D35" s="8">
        <v>92379.227742260293</v>
      </c>
      <c r="E35" s="9">
        <v>-6.3170602430766554E-3</v>
      </c>
      <c r="F35" s="8">
        <v>109605.93201831605</v>
      </c>
      <c r="G35" s="9">
        <v>-3.3619061924191201E-2</v>
      </c>
      <c r="H35" s="9">
        <v>0.42342301837519292</v>
      </c>
      <c r="I35" s="10">
        <v>11</v>
      </c>
    </row>
    <row r="36" spans="1:9" x14ac:dyDescent="0.25">
      <c r="A36" s="7" t="s">
        <v>150</v>
      </c>
      <c r="B36" s="8">
        <v>85092.603052870327</v>
      </c>
      <c r="C36" s="9">
        <v>7.0611300255151555E-2</v>
      </c>
      <c r="D36" s="8">
        <v>105691.74711385486</v>
      </c>
      <c r="E36" s="9">
        <v>3.8697942091042804E-2</v>
      </c>
      <c r="F36" s="8">
        <v>126290.89117483939</v>
      </c>
      <c r="G36" s="9">
        <v>1.6593256467873435E-2</v>
      </c>
      <c r="H36" s="9">
        <v>0.48415827749882623</v>
      </c>
      <c r="I36" s="10">
        <v>12</v>
      </c>
    </row>
    <row r="37" spans="1:9" x14ac:dyDescent="0.25">
      <c r="A37" s="7" t="s">
        <v>151</v>
      </c>
      <c r="B37" s="8">
        <v>45949.468698662437</v>
      </c>
      <c r="C37" s="9">
        <v>-0.25855656580658548</v>
      </c>
      <c r="D37" s="8">
        <v>62636.295330614215</v>
      </c>
      <c r="E37" s="9">
        <v>-0.25005291231694737</v>
      </c>
      <c r="F37" s="8">
        <v>79323.121962566001</v>
      </c>
      <c r="G37" s="9">
        <v>-0.24515623094081648</v>
      </c>
      <c r="H37" s="9">
        <v>0.72631205994499459</v>
      </c>
      <c r="I37" s="10">
        <v>8</v>
      </c>
    </row>
    <row r="38" spans="1:9" x14ac:dyDescent="0.25">
      <c r="A38" s="7" t="s">
        <v>152</v>
      </c>
      <c r="B38" s="8">
        <v>38808.105150803538</v>
      </c>
      <c r="C38" s="9">
        <v>7.6857474377062543E-2</v>
      </c>
      <c r="D38" s="8">
        <v>50006.650627710289</v>
      </c>
      <c r="E38" s="9">
        <v>2.6672862693308218E-2</v>
      </c>
      <c r="F38" s="8">
        <v>61205.196104617033</v>
      </c>
      <c r="G38" s="9">
        <v>-6.5271524868810169E-3</v>
      </c>
      <c r="H38" s="9">
        <v>0.57712405351359319</v>
      </c>
      <c r="I38" s="10">
        <v>8</v>
      </c>
    </row>
    <row r="39" spans="1:9" x14ac:dyDescent="0.25">
      <c r="A39" s="7" t="s">
        <v>18</v>
      </c>
      <c r="B39" s="8">
        <v>37304.469615946218</v>
      </c>
      <c r="C39" s="9">
        <v>0.26095448020747775</v>
      </c>
      <c r="D39" s="8">
        <v>49256.461273245564</v>
      </c>
      <c r="E39" s="9">
        <v>0.14253536942601636</v>
      </c>
      <c r="F39" s="8">
        <v>61208.452930544903</v>
      </c>
      <c r="G39" s="9">
        <v>6.2110701338264934E-2</v>
      </c>
      <c r="H39" s="9">
        <v>0.64078067750843071</v>
      </c>
      <c r="I39" s="10">
        <v>4</v>
      </c>
    </row>
    <row r="40" spans="1:9" x14ac:dyDescent="0.25">
      <c r="A40" s="7" t="s">
        <v>154</v>
      </c>
      <c r="B40" s="8">
        <v>26669.952895527749</v>
      </c>
      <c r="C40" s="9">
        <v>0.1390335936859757</v>
      </c>
      <c r="D40" s="8">
        <v>35447.873325079927</v>
      </c>
      <c r="E40" s="9">
        <v>1.7439377498051536E-2</v>
      </c>
      <c r="F40" s="8">
        <v>44225.79375463209</v>
      </c>
      <c r="G40" s="9">
        <v>-6.388222092862704E-2</v>
      </c>
      <c r="H40" s="9">
        <v>0.65826291211966326</v>
      </c>
      <c r="I40" s="10">
        <v>9</v>
      </c>
    </row>
    <row r="41" spans="1:9" x14ac:dyDescent="0.25">
      <c r="A41" s="7" t="s">
        <v>60</v>
      </c>
      <c r="B41" s="8">
        <v>38438.271003488007</v>
      </c>
      <c r="C41" s="9">
        <v>0.23146834829757104</v>
      </c>
      <c r="D41" s="8">
        <v>50098.817389543437</v>
      </c>
      <c r="E41" s="9">
        <v>0.12745882464844502</v>
      </c>
      <c r="F41" s="8">
        <v>61759.363775598882</v>
      </c>
      <c r="G41" s="9">
        <v>5.6313303723899456E-2</v>
      </c>
      <c r="H41" s="9">
        <v>0.60671544695635882</v>
      </c>
      <c r="I41" s="10">
        <v>12</v>
      </c>
    </row>
    <row r="42" spans="1:9" x14ac:dyDescent="0.25">
      <c r="A42" s="7" t="s">
        <v>155</v>
      </c>
      <c r="B42" s="8">
        <v>15818.616148322544</v>
      </c>
      <c r="C42" s="9">
        <v>-0.30335076037797376</v>
      </c>
      <c r="D42" s="8">
        <v>19972.452136567968</v>
      </c>
      <c r="E42" s="9">
        <v>-0.29436870656612624</v>
      </c>
      <c r="F42" s="8">
        <v>24126.2881248134</v>
      </c>
      <c r="G42" s="9">
        <v>-0.28851746829626229</v>
      </c>
      <c r="H42" s="9">
        <v>0.5251832333874431</v>
      </c>
      <c r="I42" s="10">
        <v>5</v>
      </c>
    </row>
    <row r="43" spans="1:9" x14ac:dyDescent="0.25">
      <c r="A43" s="7" t="s">
        <v>158</v>
      </c>
      <c r="B43" s="8">
        <v>27624.86669217766</v>
      </c>
      <c r="C43" s="9">
        <v>-4.1490178936957951E-2</v>
      </c>
      <c r="D43" s="8">
        <v>37360.734090556165</v>
      </c>
      <c r="E43" s="9">
        <v>-9.1727798619920864E-2</v>
      </c>
      <c r="F43" s="8">
        <v>47096.601488934677</v>
      </c>
      <c r="G43" s="9">
        <v>-0.12236237779965622</v>
      </c>
      <c r="H43" s="9">
        <v>0.70486257956389309</v>
      </c>
      <c r="I43" s="10">
        <v>7</v>
      </c>
    </row>
    <row r="44" spans="1:9" x14ac:dyDescent="0.25">
      <c r="A44" s="7" t="s">
        <v>48</v>
      </c>
      <c r="B44" s="8">
        <v>59844.712365474901</v>
      </c>
      <c r="C44" s="9">
        <v>0.16309938213789085</v>
      </c>
      <c r="D44" s="8">
        <v>78813.696351566323</v>
      </c>
      <c r="E44" s="9">
        <v>6.7790901343902019E-2</v>
      </c>
      <c r="F44" s="8">
        <v>97782.680337657759</v>
      </c>
      <c r="G44" s="9">
        <v>4.4216589784761536E-3</v>
      </c>
      <c r="H44" s="9">
        <v>0.63394018406327413</v>
      </c>
      <c r="I44" s="10">
        <v>10</v>
      </c>
    </row>
    <row r="45" spans="1:9" x14ac:dyDescent="0.25">
      <c r="A45" s="7" t="s">
        <v>58</v>
      </c>
      <c r="B45" s="8">
        <v>51754.959182265542</v>
      </c>
      <c r="C45" s="9">
        <v>0.27306399710805779</v>
      </c>
      <c r="D45" s="8">
        <v>66373.388119469673</v>
      </c>
      <c r="E45" s="9">
        <v>0.17696079899424022</v>
      </c>
      <c r="F45" s="8">
        <v>80991.817056673826</v>
      </c>
      <c r="G45" s="9">
        <v>0.10974155695344946</v>
      </c>
      <c r="H45" s="9">
        <v>0.56490930214909041</v>
      </c>
      <c r="I45" s="10">
        <v>7</v>
      </c>
    </row>
    <row r="46" spans="1:9" x14ac:dyDescent="0.25">
      <c r="A46" s="7" t="s">
        <v>160</v>
      </c>
      <c r="B46" s="8">
        <v>28168.560237371184</v>
      </c>
      <c r="C46" s="9">
        <v>-0.15164487487332079</v>
      </c>
      <c r="D46" s="8">
        <v>37536.433650656123</v>
      </c>
      <c r="E46" s="9">
        <v>-3.3573777877391422E-2</v>
      </c>
      <c r="F46" s="8">
        <v>46904.307063941051</v>
      </c>
      <c r="G46" s="9">
        <v>3.1305102407657694E-2</v>
      </c>
      <c r="H46" s="9">
        <v>0.66512972862962239</v>
      </c>
      <c r="I46" s="10">
        <v>7</v>
      </c>
    </row>
    <row r="47" spans="1:9" x14ac:dyDescent="0.25">
      <c r="A47" s="7" t="s">
        <v>260</v>
      </c>
      <c r="B47" s="8">
        <v>50957.206790793811</v>
      </c>
      <c r="C47" s="9">
        <v>-4.9412342656324444E-2</v>
      </c>
      <c r="D47" s="8">
        <v>67812.740832014402</v>
      </c>
      <c r="E47" s="9">
        <v>-0.17647198805990952</v>
      </c>
      <c r="F47" s="8">
        <v>84668.274873234972</v>
      </c>
      <c r="G47" s="9">
        <v>-0.26083096162229469</v>
      </c>
      <c r="H47" s="9">
        <v>0.66155643539966513</v>
      </c>
      <c r="I47" s="10">
        <v>8</v>
      </c>
    </row>
    <row r="48" spans="1:9" x14ac:dyDescent="0.25">
      <c r="A48" s="7" t="s">
        <v>122</v>
      </c>
      <c r="B48" s="8">
        <v>46218.607478275226</v>
      </c>
      <c r="C48" s="9">
        <v>4.817200299841902E-2</v>
      </c>
      <c r="D48" s="8">
        <v>61701.928670473753</v>
      </c>
      <c r="E48" s="9">
        <v>-8.2450456657212567E-2</v>
      </c>
      <c r="F48" s="8">
        <v>77180.171090365533</v>
      </c>
      <c r="G48" s="9">
        <v>-0.16932031881820106</v>
      </c>
      <c r="H48" s="9">
        <v>0.66989390856580011</v>
      </c>
      <c r="I48" s="10">
        <v>11</v>
      </c>
    </row>
    <row r="49" spans="1:9" x14ac:dyDescent="0.25">
      <c r="A49" s="7" t="s">
        <v>14</v>
      </c>
      <c r="B49" s="8">
        <v>20612.085261199329</v>
      </c>
      <c r="C49" s="9">
        <v>-0.15246860700559636</v>
      </c>
      <c r="D49" s="8">
        <v>26910.090618060221</v>
      </c>
      <c r="E49" s="9">
        <v>-6.9306963150053011E-2</v>
      </c>
      <c r="F49" s="8">
        <v>33208.095974921125</v>
      </c>
      <c r="G49" s="9">
        <v>-2.0845414632444739E-2</v>
      </c>
      <c r="H49" s="9">
        <v>0.61109832188753954</v>
      </c>
      <c r="I49" s="10">
        <v>12</v>
      </c>
    </row>
    <row r="50" spans="1:9" x14ac:dyDescent="0.25">
      <c r="A50" s="11" t="s">
        <v>256</v>
      </c>
      <c r="B50" s="12"/>
      <c r="C50" s="13">
        <v>-2.9140846569445981E-2</v>
      </c>
      <c r="D50" s="14"/>
      <c r="E50" s="13">
        <v>-4.7506360760330907E-2</v>
      </c>
      <c r="F50" s="14"/>
      <c r="G50" s="13">
        <v>-6.2125414034522368E-2</v>
      </c>
      <c r="H50" s="13">
        <v>0.58773899386348927</v>
      </c>
      <c r="I50" s="15">
        <v>8.7173913043478262</v>
      </c>
    </row>
    <row r="51" spans="1:9" x14ac:dyDescent="0.25">
      <c r="A51" s="16" t="s">
        <v>257</v>
      </c>
      <c r="B51" s="17"/>
      <c r="C51" s="17"/>
      <c r="D51" s="17"/>
      <c r="E51" s="17"/>
      <c r="F51" s="17"/>
      <c r="G51" s="17"/>
      <c r="H51" s="18"/>
      <c r="I51" s="19">
        <v>413</v>
      </c>
    </row>
  </sheetData>
  <autoFilter ref="A1:I51">
    <filterColumn colId="1" showButton="0"/>
    <filterColumn colId="3" showButton="0"/>
    <filterColumn colId="5" showButton="0"/>
  </autoFilter>
  <mergeCells count="6">
    <mergeCell ref="I1:I2"/>
    <mergeCell ref="A1:A2"/>
    <mergeCell ref="B1:C1"/>
    <mergeCell ref="D1:E1"/>
    <mergeCell ref="F1:G1"/>
    <mergeCell ref="H1:H2"/>
  </mergeCells>
  <conditionalFormatting sqref="A3:I49">
    <cfRule type="expression" dxfId="0" priority="1">
      <formula>MOD(ROW(),2)=0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71"/>
  <sheetViews>
    <sheetView tabSelected="1" zoomScale="90" zoomScaleNormal="90" workbookViewId="0"/>
  </sheetViews>
  <sheetFormatPr defaultColWidth="9.140625" defaultRowHeight="15" x14ac:dyDescent="0.25"/>
  <cols>
    <col min="1" max="1" width="52.7109375" style="144" customWidth="1"/>
    <col min="2" max="2" width="6.85546875" style="144" bestFit="1" customWidth="1"/>
    <col min="3" max="18" width="10.7109375" style="159" customWidth="1"/>
    <col min="19" max="19" width="10.28515625" style="144" customWidth="1"/>
    <col min="20" max="16384" width="9.140625" style="144"/>
  </cols>
  <sheetData>
    <row r="1" spans="1:18" ht="28.5" customHeight="1" thickBot="1" x14ac:dyDescent="0.3">
      <c r="A1" s="143" t="s">
        <v>401</v>
      </c>
      <c r="B1" s="366" t="s">
        <v>357</v>
      </c>
      <c r="C1" s="367"/>
      <c r="D1" s="367"/>
      <c r="E1" s="367"/>
      <c r="F1" s="367"/>
      <c r="G1" s="367"/>
      <c r="H1" s="367"/>
      <c r="I1" s="367"/>
      <c r="J1" s="367"/>
      <c r="K1" s="367"/>
      <c r="L1" s="367"/>
      <c r="M1" s="368"/>
      <c r="N1" s="358"/>
      <c r="O1" s="358"/>
      <c r="P1" s="358"/>
      <c r="Q1" s="358"/>
      <c r="R1" s="358"/>
    </row>
    <row r="2" spans="1:18" ht="32.25" thickBot="1" x14ac:dyDescent="0.3">
      <c r="A2" s="143" t="s">
        <v>347</v>
      </c>
      <c r="B2" s="237" t="s">
        <v>0</v>
      </c>
      <c r="C2" s="237" t="s">
        <v>2</v>
      </c>
      <c r="D2" s="237">
        <v>0</v>
      </c>
      <c r="E2" s="237">
        <v>1</v>
      </c>
      <c r="F2" s="237">
        <v>2</v>
      </c>
      <c r="G2" s="237">
        <v>3</v>
      </c>
      <c r="H2" s="237">
        <v>4</v>
      </c>
      <c r="I2" s="237">
        <v>5</v>
      </c>
      <c r="J2" s="237">
        <v>6</v>
      </c>
      <c r="K2" s="237">
        <v>7</v>
      </c>
      <c r="L2" s="237">
        <v>8</v>
      </c>
      <c r="M2" s="237">
        <v>9</v>
      </c>
      <c r="N2" s="359"/>
      <c r="O2" s="359"/>
      <c r="P2" s="359"/>
      <c r="Q2" s="359"/>
      <c r="R2" s="359"/>
    </row>
    <row r="3" spans="1:18" ht="15" customHeight="1" x14ac:dyDescent="0.25">
      <c r="A3" s="173" t="s">
        <v>123</v>
      </c>
      <c r="B3" s="190" t="s">
        <v>265</v>
      </c>
      <c r="C3" s="190">
        <v>250</v>
      </c>
      <c r="D3" s="191">
        <v>72351.5625</v>
      </c>
      <c r="E3" s="192">
        <v>73184.967612796114</v>
      </c>
      <c r="F3" s="192">
        <v>74027.972574690662</v>
      </c>
      <c r="G3" s="192">
        <v>74880.687964682103</v>
      </c>
      <c r="H3" s="192">
        <v>75743.225635509283</v>
      </c>
      <c r="I3" s="192">
        <v>76615.698728323317</v>
      </c>
      <c r="J3" s="192">
        <v>77498.221687528683</v>
      </c>
      <c r="K3" s="192">
        <v>78390.91027579509</v>
      </c>
      <c r="L3" s="192">
        <v>79293.881589242403</v>
      </c>
      <c r="M3" s="193">
        <v>80207.254072800366</v>
      </c>
      <c r="N3" s="235"/>
      <c r="O3" s="235"/>
      <c r="P3" s="235"/>
      <c r="Q3" s="235"/>
      <c r="R3" s="235"/>
    </row>
    <row r="4" spans="1:18" ht="15" customHeight="1" x14ac:dyDescent="0.25">
      <c r="A4" s="176" t="s">
        <v>125</v>
      </c>
      <c r="B4" s="194"/>
      <c r="C4" s="194"/>
      <c r="D4" s="195"/>
      <c r="E4" s="196"/>
      <c r="F4" s="196"/>
      <c r="G4" s="196"/>
      <c r="H4" s="196"/>
      <c r="I4" s="196"/>
      <c r="J4" s="196"/>
      <c r="K4" s="196"/>
      <c r="L4" s="196"/>
      <c r="M4" s="197"/>
      <c r="N4" s="235"/>
      <c r="O4" s="235"/>
      <c r="P4" s="235"/>
      <c r="Q4" s="235"/>
      <c r="R4" s="235"/>
    </row>
    <row r="5" spans="1:18" ht="15" customHeight="1" x14ac:dyDescent="0.25">
      <c r="A5" s="164" t="s">
        <v>139</v>
      </c>
      <c r="B5" s="198" t="s">
        <v>266</v>
      </c>
      <c r="C5" s="198">
        <v>250</v>
      </c>
      <c r="D5" s="199">
        <v>76692.65625</v>
      </c>
      <c r="E5" s="200">
        <v>77576.06566956389</v>
      </c>
      <c r="F5" s="200">
        <v>78469.650929172087</v>
      </c>
      <c r="G5" s="200">
        <v>79373.529242563032</v>
      </c>
      <c r="H5" s="200">
        <v>80287.819173639844</v>
      </c>
      <c r="I5" s="200">
        <v>81212.640652022717</v>
      </c>
      <c r="J5" s="200">
        <v>82148.114988780406</v>
      </c>
      <c r="K5" s="200">
        <v>83094.364892342797</v>
      </c>
      <c r="L5" s="200">
        <v>84051.514484596933</v>
      </c>
      <c r="M5" s="201">
        <v>85019.689317168391</v>
      </c>
      <c r="N5" s="235"/>
      <c r="O5" s="235"/>
      <c r="P5" s="235"/>
      <c r="Q5" s="235"/>
      <c r="R5" s="235"/>
    </row>
    <row r="6" spans="1:18" ht="15" customHeight="1" x14ac:dyDescent="0.25">
      <c r="A6" s="231" t="s">
        <v>149</v>
      </c>
      <c r="B6" s="202" t="s">
        <v>267</v>
      </c>
      <c r="C6" s="202">
        <v>250</v>
      </c>
      <c r="D6" s="203">
        <v>81294.215624999997</v>
      </c>
      <c r="E6" s="204">
        <v>82230.629609737734</v>
      </c>
      <c r="F6" s="204">
        <v>83177.829984922457</v>
      </c>
      <c r="G6" s="204">
        <v>84135.940997116864</v>
      </c>
      <c r="H6" s="204">
        <v>85105.088324058306</v>
      </c>
      <c r="I6" s="204">
        <v>86085.39909114418</v>
      </c>
      <c r="J6" s="204">
        <v>87077.001888107348</v>
      </c>
      <c r="K6" s="204">
        <v>88080.0267858835</v>
      </c>
      <c r="L6" s="204">
        <v>89094.605353672901</v>
      </c>
      <c r="M6" s="205">
        <v>90120.870676198654</v>
      </c>
      <c r="N6" s="235"/>
      <c r="O6" s="235"/>
      <c r="P6" s="235"/>
      <c r="Q6" s="235"/>
      <c r="R6" s="235"/>
    </row>
    <row r="7" spans="1:18" ht="15" customHeight="1" x14ac:dyDescent="0.25">
      <c r="A7" s="146" t="s">
        <v>144</v>
      </c>
      <c r="B7" s="206" t="s">
        <v>268</v>
      </c>
      <c r="C7" s="198">
        <v>250</v>
      </c>
      <c r="D7" s="207">
        <v>86171.868562500007</v>
      </c>
      <c r="E7" s="208">
        <v>87164.46738632198</v>
      </c>
      <c r="F7" s="208">
        <v>88168.499784017782</v>
      </c>
      <c r="G7" s="208">
        <v>89184.09745694384</v>
      </c>
      <c r="H7" s="208">
        <v>90211.393623501732</v>
      </c>
      <c r="I7" s="208">
        <v>91250.523036612751</v>
      </c>
      <c r="J7" s="208">
        <v>92301.622001393684</v>
      </c>
      <c r="K7" s="208">
        <v>93364.828393036398</v>
      </c>
      <c r="L7" s="208">
        <v>94440.281674893151</v>
      </c>
      <c r="M7" s="209">
        <v>95528.12291677043</v>
      </c>
      <c r="N7" s="235"/>
      <c r="O7" s="235"/>
      <c r="P7" s="235"/>
      <c r="Q7" s="235"/>
      <c r="R7" s="235"/>
    </row>
    <row r="8" spans="1:18" ht="15" customHeight="1" x14ac:dyDescent="0.25">
      <c r="A8" s="149" t="s">
        <v>140</v>
      </c>
      <c r="B8" s="210" t="s">
        <v>269</v>
      </c>
      <c r="C8" s="202">
        <v>250</v>
      </c>
      <c r="D8" s="211">
        <v>91342.18067625002</v>
      </c>
      <c r="E8" s="212">
        <v>92394.335429501312</v>
      </c>
      <c r="F8" s="212">
        <v>93458.609771058836</v>
      </c>
      <c r="G8" s="212">
        <v>94535.143304360448</v>
      </c>
      <c r="H8" s="212">
        <v>95624.077240911836</v>
      </c>
      <c r="I8" s="212">
        <v>96725.554418809508</v>
      </c>
      <c r="J8" s="212">
        <v>97839.7193214773</v>
      </c>
      <c r="K8" s="212">
        <v>98966.718096618555</v>
      </c>
      <c r="L8" s="212">
        <v>100106.69857538672</v>
      </c>
      <c r="M8" s="213">
        <v>101259.81029177667</v>
      </c>
      <c r="N8" s="235"/>
      <c r="O8" s="235"/>
      <c r="P8" s="235"/>
      <c r="Q8" s="235"/>
      <c r="R8" s="235"/>
    </row>
    <row r="9" spans="1:18" ht="15" customHeight="1" x14ac:dyDescent="0.25">
      <c r="A9" s="163" t="s">
        <v>124</v>
      </c>
      <c r="B9" s="214" t="s">
        <v>270</v>
      </c>
      <c r="C9" s="214">
        <v>250</v>
      </c>
      <c r="D9" s="215">
        <v>96822.711516825002</v>
      </c>
      <c r="E9" s="216">
        <v>97937.995555271424</v>
      </c>
      <c r="F9" s="216">
        <v>99066.126357322428</v>
      </c>
      <c r="G9" s="216">
        <v>100207.25190262217</v>
      </c>
      <c r="H9" s="216">
        <v>101361.52187536667</v>
      </c>
      <c r="I9" s="216">
        <v>102529.08768393823</v>
      </c>
      <c r="J9" s="216">
        <v>103710.10248076609</v>
      </c>
      <c r="K9" s="216">
        <v>104904.72118241586</v>
      </c>
      <c r="L9" s="216">
        <v>106113.10048991012</v>
      </c>
      <c r="M9" s="217">
        <v>107335.39890928348</v>
      </c>
      <c r="N9" s="235"/>
      <c r="O9" s="235"/>
      <c r="P9" s="235"/>
      <c r="Q9" s="235"/>
      <c r="R9" s="235"/>
    </row>
    <row r="10" spans="1:18" ht="15" customHeight="1" x14ac:dyDescent="0.25">
      <c r="A10" s="164" t="s">
        <v>150</v>
      </c>
      <c r="B10" s="206"/>
      <c r="C10" s="206"/>
      <c r="D10" s="207"/>
      <c r="E10" s="208"/>
      <c r="F10" s="208"/>
      <c r="G10" s="208"/>
      <c r="H10" s="208"/>
      <c r="I10" s="208"/>
      <c r="J10" s="208"/>
      <c r="K10" s="208"/>
      <c r="L10" s="208"/>
      <c r="M10" s="209"/>
      <c r="N10" s="235"/>
      <c r="O10" s="235"/>
      <c r="P10" s="235"/>
      <c r="Q10" s="235"/>
      <c r="R10" s="235"/>
    </row>
    <row r="11" spans="1:18" ht="15" customHeight="1" x14ac:dyDescent="0.25">
      <c r="A11" s="145" t="s">
        <v>145</v>
      </c>
      <c r="B11" s="202" t="s">
        <v>285</v>
      </c>
      <c r="C11" s="202">
        <v>250</v>
      </c>
      <c r="D11" s="203">
        <v>102632.07420783454</v>
      </c>
      <c r="E11" s="204">
        <v>103814.2752885877</v>
      </c>
      <c r="F11" s="204">
        <v>105010.09393876174</v>
      </c>
      <c r="G11" s="204">
        <v>106219.68701677946</v>
      </c>
      <c r="H11" s="204">
        <v>107443.21318788857</v>
      </c>
      <c r="I11" s="204">
        <v>108680.83294497439</v>
      </c>
      <c r="J11" s="204">
        <v>109932.70862961194</v>
      </c>
      <c r="K11" s="204">
        <v>111199.00445336067</v>
      </c>
      <c r="L11" s="204">
        <v>112479.88651930456</v>
      </c>
      <c r="M11" s="205">
        <v>113775.52284384028</v>
      </c>
      <c r="N11" s="235"/>
      <c r="O11" s="235"/>
      <c r="P11" s="235"/>
      <c r="Q11" s="235"/>
      <c r="R11" s="235"/>
    </row>
    <row r="12" spans="1:18" ht="15" customHeight="1" thickBot="1" x14ac:dyDescent="0.3">
      <c r="A12" s="147" t="s">
        <v>136</v>
      </c>
      <c r="B12" s="218" t="s">
        <v>344</v>
      </c>
      <c r="C12" s="218">
        <v>250</v>
      </c>
      <c r="D12" s="219">
        <v>108789.9986603046</v>
      </c>
      <c r="E12" s="220">
        <v>110043.13180590297</v>
      </c>
      <c r="F12" s="220">
        <v>111310.69957508748</v>
      </c>
      <c r="G12" s="220">
        <v>112592.86823778627</v>
      </c>
      <c r="H12" s="220">
        <v>113889.80597916197</v>
      </c>
      <c r="I12" s="220">
        <v>115201.68292167298</v>
      </c>
      <c r="J12" s="220">
        <v>116528.67114738878</v>
      </c>
      <c r="K12" s="220">
        <v>117870.94472056245</v>
      </c>
      <c r="L12" s="220">
        <v>119228.67971046301</v>
      </c>
      <c r="M12" s="221">
        <v>120602.05421447087</v>
      </c>
      <c r="N12" s="235"/>
      <c r="O12" s="235"/>
      <c r="P12" s="235"/>
      <c r="Q12" s="235"/>
      <c r="R12" s="235"/>
    </row>
    <row r="13" spans="1:18" ht="32.25" thickBot="1" x14ac:dyDescent="0.3">
      <c r="A13" s="143" t="s">
        <v>365</v>
      </c>
      <c r="B13" s="237" t="s">
        <v>0</v>
      </c>
      <c r="C13" s="237">
        <v>10</v>
      </c>
      <c r="D13" s="237">
        <v>11</v>
      </c>
      <c r="E13" s="237">
        <v>12</v>
      </c>
      <c r="F13" s="237">
        <v>13</v>
      </c>
      <c r="G13" s="237">
        <v>14</v>
      </c>
      <c r="H13" s="237">
        <v>15</v>
      </c>
      <c r="I13" s="237">
        <v>16</v>
      </c>
      <c r="J13" s="237">
        <v>17</v>
      </c>
      <c r="K13" s="237">
        <v>18</v>
      </c>
      <c r="L13" s="237">
        <v>19</v>
      </c>
      <c r="M13" s="237">
        <v>20</v>
      </c>
      <c r="N13" s="359"/>
      <c r="O13" s="359"/>
      <c r="P13" s="359"/>
      <c r="Q13" s="359"/>
      <c r="R13" s="359"/>
    </row>
    <row r="14" spans="1:18" ht="15" customHeight="1" x14ac:dyDescent="0.25">
      <c r="A14" s="173" t="s">
        <v>123</v>
      </c>
      <c r="B14" s="190" t="s">
        <v>265</v>
      </c>
      <c r="C14" s="192">
        <v>81131.147535745404</v>
      </c>
      <c r="D14" s="192">
        <v>82065.683167416209</v>
      </c>
      <c r="E14" s="192">
        <v>83010.983553110447</v>
      </c>
      <c r="F14" s="192">
        <v>83967.172690164633</v>
      </c>
      <c r="G14" s="192">
        <v>84934.376004219084</v>
      </c>
      <c r="H14" s="192">
        <v>85912.72036567035</v>
      </c>
      <c r="I14" s="192">
        <v>86902.334106313094</v>
      </c>
      <c r="J14" s="192">
        <v>87903.347036173713</v>
      </c>
      <c r="K14" s="192">
        <v>88915.890460537761</v>
      </c>
      <c r="L14" s="192">
        <v>89940.097197173629</v>
      </c>
      <c r="M14" s="193">
        <v>90976.101593754633</v>
      </c>
      <c r="N14" s="235"/>
      <c r="O14" s="235"/>
      <c r="P14" s="235"/>
      <c r="Q14" s="235"/>
      <c r="R14" s="235"/>
    </row>
    <row r="15" spans="1:18" ht="15" customHeight="1" x14ac:dyDescent="0.25">
      <c r="A15" s="176" t="s">
        <v>125</v>
      </c>
      <c r="B15" s="194"/>
      <c r="C15" s="196"/>
      <c r="D15" s="196"/>
      <c r="E15" s="196"/>
      <c r="F15" s="196"/>
      <c r="G15" s="196"/>
      <c r="H15" s="196"/>
      <c r="I15" s="196"/>
      <c r="J15" s="196"/>
      <c r="K15" s="196"/>
      <c r="L15" s="196"/>
      <c r="M15" s="197"/>
      <c r="N15" s="235"/>
      <c r="O15" s="235"/>
      <c r="P15" s="235"/>
      <c r="Q15" s="235"/>
      <c r="R15" s="235"/>
    </row>
    <row r="16" spans="1:18" ht="15" customHeight="1" x14ac:dyDescent="0.25">
      <c r="A16" s="232" t="s">
        <v>139</v>
      </c>
      <c r="B16" s="198" t="s">
        <v>266</v>
      </c>
      <c r="C16" s="200">
        <v>85999.016387890122</v>
      </c>
      <c r="D16" s="200">
        <v>86989.624157461163</v>
      </c>
      <c r="E16" s="200">
        <v>87991.642566297072</v>
      </c>
      <c r="F16" s="200">
        <v>89005.203051574499</v>
      </c>
      <c r="G16" s="200">
        <v>90030.438564472221</v>
      </c>
      <c r="H16" s="200">
        <v>91067.483587610564</v>
      </c>
      <c r="I16" s="222">
        <v>92116.474152691895</v>
      </c>
      <c r="J16" s="200">
        <v>93177.547858344129</v>
      </c>
      <c r="K16" s="222">
        <v>94250.843888170013</v>
      </c>
      <c r="L16" s="200">
        <v>95336.503029004045</v>
      </c>
      <c r="M16" s="223">
        <v>96434.667689379901</v>
      </c>
      <c r="N16" s="235"/>
      <c r="O16" s="235"/>
      <c r="P16" s="235"/>
      <c r="Q16" s="235"/>
      <c r="R16" s="235"/>
    </row>
    <row r="17" spans="1:18" ht="15" customHeight="1" x14ac:dyDescent="0.25">
      <c r="A17" s="231" t="s">
        <v>149</v>
      </c>
      <c r="B17" s="202" t="s">
        <v>267</v>
      </c>
      <c r="C17" s="204">
        <v>91158.95737116372</v>
      </c>
      <c r="D17" s="204">
        <v>92209.001606909049</v>
      </c>
      <c r="E17" s="204">
        <v>93271.141120275119</v>
      </c>
      <c r="F17" s="204">
        <v>94345.515234669219</v>
      </c>
      <c r="G17" s="204">
        <v>95432.264878340837</v>
      </c>
      <c r="H17" s="204">
        <v>96531.532602867519</v>
      </c>
      <c r="I17" s="203">
        <v>97643.462601853724</v>
      </c>
      <c r="J17" s="203">
        <v>98768.200729845135</v>
      </c>
      <c r="K17" s="203">
        <v>99905.894521460606</v>
      </c>
      <c r="L17" s="203">
        <v>101056.69321074471</v>
      </c>
      <c r="M17" s="224">
        <v>102220.74775074315</v>
      </c>
      <c r="N17" s="235"/>
      <c r="O17" s="235"/>
      <c r="P17" s="235"/>
      <c r="Q17" s="235"/>
      <c r="R17" s="235"/>
    </row>
    <row r="18" spans="1:18" ht="15" customHeight="1" x14ac:dyDescent="0.25">
      <c r="A18" s="146" t="s">
        <v>144</v>
      </c>
      <c r="B18" s="198" t="s">
        <v>268</v>
      </c>
      <c r="C18" s="208">
        <v>96628.494813433368</v>
      </c>
      <c r="D18" s="208">
        <v>97741.541703323412</v>
      </c>
      <c r="E18" s="208">
        <v>98867.40958749142</v>
      </c>
      <c r="F18" s="208">
        <v>100006.24614874914</v>
      </c>
      <c r="G18" s="200">
        <v>101158.20077104103</v>
      </c>
      <c r="H18" s="200">
        <v>102323.42455903901</v>
      </c>
      <c r="I18" s="222">
        <v>103502.07035796465</v>
      </c>
      <c r="J18" s="200">
        <v>104694.29277363552</v>
      </c>
      <c r="K18" s="222">
        <v>105900.24819274788</v>
      </c>
      <c r="L18" s="200">
        <v>107120.094803389</v>
      </c>
      <c r="M18" s="223">
        <v>108353.99261578731</v>
      </c>
      <c r="N18" s="235"/>
      <c r="O18" s="235"/>
      <c r="P18" s="235"/>
      <c r="Q18" s="235"/>
      <c r="R18" s="235"/>
    </row>
    <row r="19" spans="1:18" ht="15" customHeight="1" x14ac:dyDescent="0.25">
      <c r="A19" s="231" t="s">
        <v>140</v>
      </c>
      <c r="B19" s="202" t="s">
        <v>269</v>
      </c>
      <c r="C19" s="212">
        <v>102426.20450223939</v>
      </c>
      <c r="D19" s="212">
        <v>103606.0342055228</v>
      </c>
      <c r="E19" s="212">
        <v>104799.45416274091</v>
      </c>
      <c r="F19" s="212">
        <v>106006.6209176741</v>
      </c>
      <c r="G19" s="204">
        <v>107227.69281730348</v>
      </c>
      <c r="H19" s="204">
        <v>108462.83003258161</v>
      </c>
      <c r="I19" s="203">
        <v>109712.19457944253</v>
      </c>
      <c r="J19" s="203">
        <v>110975.95034005365</v>
      </c>
      <c r="K19" s="203">
        <v>112254.26308431274</v>
      </c>
      <c r="L19" s="203">
        <v>113547.30049159234</v>
      </c>
      <c r="M19" s="224">
        <v>114855.23217273454</v>
      </c>
      <c r="N19" s="235"/>
      <c r="O19" s="235"/>
      <c r="P19" s="235"/>
      <c r="Q19" s="235"/>
      <c r="R19" s="235"/>
    </row>
    <row r="20" spans="1:18" ht="15" customHeight="1" x14ac:dyDescent="0.25">
      <c r="A20" s="163" t="s">
        <v>124</v>
      </c>
      <c r="B20" s="214" t="s">
        <v>270</v>
      </c>
      <c r="C20" s="216">
        <v>108571.77677237398</v>
      </c>
      <c r="D20" s="216">
        <v>109822.39625785445</v>
      </c>
      <c r="E20" s="216">
        <v>111087.42141250566</v>
      </c>
      <c r="F20" s="216">
        <v>112367.01817273487</v>
      </c>
      <c r="G20" s="216">
        <v>113661.35438634205</v>
      </c>
      <c r="H20" s="216">
        <v>114970.59983453692</v>
      </c>
      <c r="I20" s="216">
        <v>116294.92625420949</v>
      </c>
      <c r="J20" s="216">
        <v>117634.50736045731</v>
      </c>
      <c r="K20" s="216">
        <v>118989.51886937198</v>
      </c>
      <c r="L20" s="216">
        <v>120360.13852108837</v>
      </c>
      <c r="M20" s="217">
        <v>121746.54610309914</v>
      </c>
      <c r="N20" s="235"/>
      <c r="O20" s="235"/>
      <c r="P20" s="235"/>
      <c r="Q20" s="235"/>
      <c r="R20" s="235"/>
    </row>
    <row r="21" spans="1:18" ht="15" customHeight="1" x14ac:dyDescent="0.25">
      <c r="A21" s="164" t="s">
        <v>150</v>
      </c>
      <c r="B21" s="206"/>
      <c r="C21" s="208"/>
      <c r="D21" s="208"/>
      <c r="E21" s="208"/>
      <c r="F21" s="208"/>
      <c r="G21" s="208"/>
      <c r="H21" s="208"/>
      <c r="I21" s="208"/>
      <c r="J21" s="208"/>
      <c r="K21" s="208"/>
      <c r="L21" s="208"/>
      <c r="M21" s="209"/>
      <c r="N21" s="235"/>
      <c r="O21" s="235"/>
      <c r="P21" s="235"/>
      <c r="Q21" s="235"/>
      <c r="R21" s="235"/>
    </row>
    <row r="22" spans="1:18" ht="15" customHeight="1" x14ac:dyDescent="0.25">
      <c r="A22" s="145" t="s">
        <v>145</v>
      </c>
      <c r="B22" s="202" t="s">
        <v>285</v>
      </c>
      <c r="C22" s="236">
        <v>115086.0833787162</v>
      </c>
      <c r="D22" s="204">
        <v>116411.74003332546</v>
      </c>
      <c r="E22" s="204">
        <v>117752.66669725571</v>
      </c>
      <c r="F22" s="204">
        <v>119109.03926309865</v>
      </c>
      <c r="G22" s="204">
        <v>120481.03564952225</v>
      </c>
      <c r="H22" s="204">
        <v>121868.83582460876</v>
      </c>
      <c r="I22" s="204">
        <v>123272.62182946168</v>
      </c>
      <c r="J22" s="204">
        <v>124692.57780208433</v>
      </c>
      <c r="K22" s="204">
        <v>126128.89000153386</v>
      </c>
      <c r="L22" s="204">
        <v>127581.74683235318</v>
      </c>
      <c r="M22" s="205">
        <v>129051.33886928458</v>
      </c>
      <c r="N22" s="235"/>
      <c r="O22" s="235"/>
      <c r="P22" s="235"/>
      <c r="Q22" s="235"/>
      <c r="R22" s="235"/>
    </row>
    <row r="23" spans="1:18" ht="15" customHeight="1" thickBot="1" x14ac:dyDescent="0.3">
      <c r="A23" s="147" t="s">
        <v>136</v>
      </c>
      <c r="B23" s="218" t="s">
        <v>344</v>
      </c>
      <c r="C23" s="220">
        <v>121991.24838143938</v>
      </c>
      <c r="D23" s="220">
        <v>123396.44443532523</v>
      </c>
      <c r="E23" s="220">
        <v>124817.82669909134</v>
      </c>
      <c r="F23" s="220">
        <v>126255.58161888485</v>
      </c>
      <c r="G23" s="220">
        <v>127709.89778849389</v>
      </c>
      <c r="H23" s="220">
        <v>129180.96597408567</v>
      </c>
      <c r="I23" s="220">
        <v>130668.97913922978</v>
      </c>
      <c r="J23" s="220">
        <v>132174.13247020982</v>
      </c>
      <c r="K23" s="220">
        <v>133696.62340162636</v>
      </c>
      <c r="L23" s="220">
        <v>135236.65164229492</v>
      </c>
      <c r="M23" s="221">
        <v>136794.41920144222</v>
      </c>
      <c r="N23" s="235"/>
      <c r="O23" s="235"/>
      <c r="P23" s="235"/>
      <c r="Q23" s="235"/>
      <c r="R23" s="235"/>
    </row>
    <row r="24" spans="1:18" ht="32.25" thickBot="1" x14ac:dyDescent="0.3">
      <c r="A24" s="143" t="s">
        <v>365</v>
      </c>
      <c r="B24" s="237" t="s">
        <v>0</v>
      </c>
      <c r="C24" s="237">
        <v>21</v>
      </c>
      <c r="D24" s="237">
        <v>22</v>
      </c>
      <c r="E24" s="237">
        <v>23</v>
      </c>
      <c r="F24" s="237">
        <v>24</v>
      </c>
      <c r="G24" s="237">
        <v>25</v>
      </c>
      <c r="H24" s="237">
        <v>26</v>
      </c>
      <c r="I24" s="237">
        <v>27</v>
      </c>
      <c r="J24" s="237">
        <v>28</v>
      </c>
      <c r="K24" s="237">
        <v>29</v>
      </c>
      <c r="L24" s="237" t="s">
        <v>355</v>
      </c>
      <c r="M24" s="237"/>
      <c r="N24" s="359"/>
      <c r="O24" s="359"/>
      <c r="P24" s="359"/>
      <c r="Q24" s="359"/>
      <c r="R24" s="359"/>
    </row>
    <row r="25" spans="1:18" ht="15" customHeight="1" x14ac:dyDescent="0.25">
      <c r="A25" s="173" t="s">
        <v>123</v>
      </c>
      <c r="B25" s="190" t="s">
        <v>265</v>
      </c>
      <c r="C25" s="192">
        <v>92024.039545481588</v>
      </c>
      <c r="D25" s="192">
        <v>93084.048512908601</v>
      </c>
      <c r="E25" s="192">
        <v>94156.267539974127</v>
      </c>
      <c r="F25" s="192">
        <v>95240.837272239602</v>
      </c>
      <c r="G25" s="192">
        <v>96337.899975338354</v>
      </c>
      <c r="H25" s="192">
        <v>97447.599553636857</v>
      </c>
      <c r="I25" s="192">
        <v>98570.081569111091</v>
      </c>
      <c r="J25" s="192">
        <v>99705.493260440184</v>
      </c>
      <c r="K25" s="192">
        <v>100853.98356232012</v>
      </c>
      <c r="L25" s="192">
        <v>102015.70312499983</v>
      </c>
      <c r="M25" s="193"/>
      <c r="N25" s="235"/>
      <c r="O25" s="235"/>
      <c r="P25" s="235"/>
      <c r="Q25" s="235"/>
      <c r="R25" s="235"/>
    </row>
    <row r="26" spans="1:18" ht="15" customHeight="1" x14ac:dyDescent="0.25">
      <c r="A26" s="176" t="s">
        <v>125</v>
      </c>
      <c r="B26" s="194"/>
      <c r="C26" s="196"/>
      <c r="D26" s="196"/>
      <c r="E26" s="196"/>
      <c r="F26" s="196"/>
      <c r="G26" s="196"/>
      <c r="H26" s="196"/>
      <c r="I26" s="196"/>
      <c r="J26" s="196"/>
      <c r="K26" s="196"/>
      <c r="L26" s="196"/>
      <c r="M26" s="197"/>
      <c r="N26" s="235"/>
      <c r="O26" s="235"/>
      <c r="P26" s="235"/>
      <c r="Q26" s="235"/>
      <c r="R26" s="235"/>
    </row>
    <row r="27" spans="1:18" ht="15" customHeight="1" x14ac:dyDescent="0.25">
      <c r="A27" s="232" t="s">
        <v>139</v>
      </c>
      <c r="B27" s="206" t="s">
        <v>266</v>
      </c>
      <c r="C27" s="200">
        <v>97545.481918210469</v>
      </c>
      <c r="D27" s="222">
        <v>98669.091423683116</v>
      </c>
      <c r="E27" s="200">
        <v>99805.643592372566</v>
      </c>
      <c r="F27" s="222">
        <v>100955.28750857397</v>
      </c>
      <c r="G27" s="200">
        <v>102118.17397385863</v>
      </c>
      <c r="H27" s="222">
        <v>103294.45552685505</v>
      </c>
      <c r="I27" s="200">
        <v>104484.28646325774</v>
      </c>
      <c r="J27" s="199">
        <v>105687.8228560666</v>
      </c>
      <c r="K27" s="199">
        <v>106905.22257605933</v>
      </c>
      <c r="L27" s="200">
        <v>108136.64531249981</v>
      </c>
      <c r="M27" s="201"/>
      <c r="N27" s="235"/>
      <c r="O27" s="235"/>
      <c r="P27" s="235"/>
      <c r="Q27" s="235"/>
      <c r="R27" s="235"/>
    </row>
    <row r="28" spans="1:18" ht="15" customHeight="1" x14ac:dyDescent="0.25">
      <c r="A28" s="231" t="s">
        <v>149</v>
      </c>
      <c r="B28" s="202" t="s">
        <v>267</v>
      </c>
      <c r="C28" s="203">
        <v>103398.21083330356</v>
      </c>
      <c r="D28" s="203">
        <v>104589.2369091046</v>
      </c>
      <c r="E28" s="203">
        <v>105793.98220791545</v>
      </c>
      <c r="F28" s="203">
        <v>107012.60475908898</v>
      </c>
      <c r="G28" s="203">
        <v>108245.26441229075</v>
      </c>
      <c r="H28" s="203">
        <v>109492.12285846699</v>
      </c>
      <c r="I28" s="204">
        <v>110753.34365105386</v>
      </c>
      <c r="J28" s="203">
        <v>112029.09222743128</v>
      </c>
      <c r="K28" s="203">
        <v>113319.53593062361</v>
      </c>
      <c r="L28" s="204">
        <v>114624.84403125054</v>
      </c>
      <c r="M28" s="205"/>
      <c r="N28" s="235"/>
      <c r="O28" s="235"/>
      <c r="P28" s="235"/>
      <c r="Q28" s="235"/>
      <c r="R28" s="235"/>
    </row>
    <row r="29" spans="1:18" ht="15" customHeight="1" x14ac:dyDescent="0.25">
      <c r="A29" s="146" t="s">
        <v>144</v>
      </c>
      <c r="B29" s="225" t="s">
        <v>268</v>
      </c>
      <c r="C29" s="200">
        <v>109602.10348330134</v>
      </c>
      <c r="D29" s="222">
        <v>110864.5911236504</v>
      </c>
      <c r="E29" s="200">
        <v>112141.62114038988</v>
      </c>
      <c r="F29" s="222">
        <v>113433.36104463377</v>
      </c>
      <c r="G29" s="200">
        <v>114739.98027702763</v>
      </c>
      <c r="H29" s="222">
        <v>116061.6502299744</v>
      </c>
      <c r="I29" s="200">
        <v>117398.54427011647</v>
      </c>
      <c r="J29" s="199">
        <v>118750.83776107649</v>
      </c>
      <c r="K29" s="199">
        <v>120118.70808646032</v>
      </c>
      <c r="L29" s="200">
        <v>121502.33467312485</v>
      </c>
      <c r="M29" s="201"/>
      <c r="N29" s="235"/>
      <c r="O29" s="235"/>
      <c r="P29" s="235"/>
      <c r="Q29" s="235"/>
      <c r="R29" s="235"/>
    </row>
    <row r="30" spans="1:18" ht="15" customHeight="1" x14ac:dyDescent="0.25">
      <c r="A30" s="231" t="s">
        <v>140</v>
      </c>
      <c r="B30" s="202" t="s">
        <v>269</v>
      </c>
      <c r="C30" s="203">
        <v>116178.22969229941</v>
      </c>
      <c r="D30" s="203">
        <v>117516.46659106943</v>
      </c>
      <c r="E30" s="203">
        <v>118870.11840881327</v>
      </c>
      <c r="F30" s="203">
        <v>120239.36270731181</v>
      </c>
      <c r="G30" s="203">
        <v>121624.3790936493</v>
      </c>
      <c r="H30" s="203">
        <v>123025.34924377289</v>
      </c>
      <c r="I30" s="204">
        <v>124442.45692632349</v>
      </c>
      <c r="J30" s="203">
        <v>125875.8880267411</v>
      </c>
      <c r="K30" s="203">
        <v>127325.83057164797</v>
      </c>
      <c r="L30" s="204">
        <v>128792.47475351236</v>
      </c>
      <c r="M30" s="205"/>
      <c r="N30" s="235"/>
      <c r="O30" s="235"/>
      <c r="P30" s="235"/>
      <c r="Q30" s="235"/>
      <c r="R30" s="235"/>
    </row>
    <row r="31" spans="1:18" ht="15" customHeight="1" x14ac:dyDescent="0.25">
      <c r="A31" s="163" t="s">
        <v>124</v>
      </c>
      <c r="B31" s="214" t="s">
        <v>270</v>
      </c>
      <c r="C31" s="216">
        <v>123148.92347383795</v>
      </c>
      <c r="D31" s="216">
        <v>124567.45458653416</v>
      </c>
      <c r="E31" s="216">
        <v>126002.32551334269</v>
      </c>
      <c r="F31" s="216">
        <v>127453.72446975116</v>
      </c>
      <c r="G31" s="216">
        <v>128921.84183926893</v>
      </c>
      <c r="H31" s="216">
        <v>130406.87019839999</v>
      </c>
      <c r="I31" s="216">
        <v>131909.00434190364</v>
      </c>
      <c r="J31" s="216">
        <v>133428.44130834634</v>
      </c>
      <c r="K31" s="216">
        <v>134965.38040594771</v>
      </c>
      <c r="L31" s="216">
        <v>136520.02323872401</v>
      </c>
      <c r="M31" s="217"/>
      <c r="N31" s="235"/>
      <c r="O31" s="235"/>
      <c r="P31" s="235"/>
      <c r="Q31" s="235"/>
      <c r="R31" s="235"/>
    </row>
    <row r="32" spans="1:18" ht="15" customHeight="1" x14ac:dyDescent="0.25">
      <c r="A32" s="164" t="s">
        <v>150</v>
      </c>
      <c r="B32" s="206"/>
      <c r="C32" s="208"/>
      <c r="D32" s="208"/>
      <c r="E32" s="208"/>
      <c r="F32" s="208"/>
      <c r="G32" s="208"/>
      <c r="H32" s="208"/>
      <c r="I32" s="208"/>
      <c r="J32" s="208"/>
      <c r="K32" s="208"/>
      <c r="L32" s="208"/>
      <c r="M32" s="209"/>
      <c r="N32" s="235"/>
      <c r="O32" s="235"/>
      <c r="P32" s="235"/>
      <c r="Q32" s="235"/>
      <c r="R32" s="235"/>
    </row>
    <row r="33" spans="1:18" ht="15" customHeight="1" x14ac:dyDescent="0.25">
      <c r="A33" s="145" t="s">
        <v>145</v>
      </c>
      <c r="B33" s="202" t="s">
        <v>285</v>
      </c>
      <c r="C33" s="236">
        <v>130537.85888226764</v>
      </c>
      <c r="D33" s="204">
        <v>132041.50186172564</v>
      </c>
      <c r="E33" s="204">
        <v>133562.46504414259</v>
      </c>
      <c r="F33" s="204">
        <v>135100.94793793556</v>
      </c>
      <c r="G33" s="204">
        <v>136657.15234962432</v>
      </c>
      <c r="H33" s="204">
        <v>138231.28241030322</v>
      </c>
      <c r="I33" s="204">
        <v>139823.54460241704</v>
      </c>
      <c r="J33" s="204">
        <v>141434.1477868463</v>
      </c>
      <c r="K33" s="204">
        <v>143063.30323030363</v>
      </c>
      <c r="L33" s="204">
        <v>144711.22463304648</v>
      </c>
      <c r="M33" s="227"/>
      <c r="N33" s="235"/>
      <c r="O33" s="235"/>
      <c r="P33" s="235"/>
      <c r="Q33" s="235"/>
      <c r="R33" s="235"/>
    </row>
    <row r="34" spans="1:18" ht="15" customHeight="1" thickBot="1" x14ac:dyDescent="0.3">
      <c r="A34" s="147" t="s">
        <v>136</v>
      </c>
      <c r="B34" s="218" t="s">
        <v>344</v>
      </c>
      <c r="C34" s="220">
        <v>138370.1304152043</v>
      </c>
      <c r="D34" s="220">
        <v>139963.9919734298</v>
      </c>
      <c r="E34" s="220">
        <v>141576.21294679184</v>
      </c>
      <c r="F34" s="220">
        <v>143207.00481421241</v>
      </c>
      <c r="G34" s="220">
        <v>144856.58149060261</v>
      </c>
      <c r="H34" s="220">
        <v>146525.15935492219</v>
      </c>
      <c r="I34" s="220">
        <v>148212.95727856291</v>
      </c>
      <c r="J34" s="220">
        <v>149920.19665405795</v>
      </c>
      <c r="K34" s="220">
        <v>151647.10142412275</v>
      </c>
      <c r="L34" s="220">
        <v>153393.89811103023</v>
      </c>
      <c r="M34" s="221"/>
      <c r="N34" s="235"/>
      <c r="O34" s="235"/>
      <c r="P34" s="235"/>
      <c r="Q34" s="235"/>
      <c r="R34" s="235"/>
    </row>
    <row r="35" spans="1:18" s="230" customFormat="1" x14ac:dyDescent="0.25">
      <c r="A35" s="167"/>
      <c r="B35" s="233"/>
      <c r="C35" s="234"/>
      <c r="D35" s="234"/>
      <c r="E35" s="234"/>
      <c r="F35" s="234"/>
      <c r="G35" s="234"/>
      <c r="H35" s="234"/>
      <c r="I35" s="234"/>
      <c r="J35" s="234"/>
      <c r="K35" s="234"/>
      <c r="L35" s="234"/>
      <c r="M35" s="234"/>
      <c r="N35" s="235"/>
      <c r="O35" s="235"/>
      <c r="P35" s="235"/>
      <c r="Q35" s="235"/>
      <c r="R35" s="235"/>
    </row>
    <row r="36" spans="1:18" x14ac:dyDescent="0.25">
      <c r="A36" s="240" t="s">
        <v>353</v>
      </c>
      <c r="N36" s="360"/>
      <c r="O36" s="360"/>
      <c r="P36" s="360"/>
      <c r="Q36" s="360"/>
      <c r="R36" s="360"/>
    </row>
    <row r="37" spans="1:18" x14ac:dyDescent="0.25">
      <c r="A37" s="167" t="s">
        <v>411</v>
      </c>
      <c r="N37" s="360"/>
      <c r="O37" s="360"/>
      <c r="P37" s="360"/>
      <c r="Q37" s="360"/>
      <c r="R37" s="360"/>
    </row>
    <row r="38" spans="1:18" x14ac:dyDescent="0.25">
      <c r="A38" s="230" t="s">
        <v>409</v>
      </c>
      <c r="N38" s="360"/>
      <c r="O38" s="360"/>
      <c r="P38" s="360"/>
      <c r="Q38" s="360"/>
      <c r="R38" s="360"/>
    </row>
    <row r="39" spans="1:18" ht="81.75" customHeight="1" thickBot="1" x14ac:dyDescent="0.3">
      <c r="N39" s="360"/>
      <c r="O39" s="360"/>
      <c r="P39" s="360"/>
      <c r="Q39" s="360"/>
      <c r="R39" s="360"/>
    </row>
    <row r="40" spans="1:18" ht="28.5" customHeight="1" thickBot="1" x14ac:dyDescent="0.3">
      <c r="A40" s="143" t="s">
        <v>401</v>
      </c>
      <c r="B40" s="366" t="s">
        <v>357</v>
      </c>
      <c r="C40" s="367"/>
      <c r="D40" s="367"/>
      <c r="E40" s="367"/>
      <c r="F40" s="367"/>
      <c r="G40" s="367"/>
      <c r="H40" s="367"/>
      <c r="I40" s="367"/>
      <c r="J40" s="367"/>
      <c r="K40" s="367"/>
      <c r="L40" s="367"/>
      <c r="M40" s="368"/>
      <c r="N40" s="358"/>
      <c r="O40" s="358"/>
      <c r="P40" s="358"/>
      <c r="Q40" s="358"/>
      <c r="R40" s="358"/>
    </row>
    <row r="41" spans="1:18" ht="32.25" thickBot="1" x14ac:dyDescent="0.3">
      <c r="A41" s="150" t="s">
        <v>349</v>
      </c>
      <c r="B41" s="237" t="s">
        <v>0</v>
      </c>
      <c r="C41" s="229" t="s">
        <v>2</v>
      </c>
      <c r="D41" s="229">
        <v>0</v>
      </c>
      <c r="E41" s="237">
        <v>1</v>
      </c>
      <c r="F41" s="237">
        <v>2</v>
      </c>
      <c r="G41" s="237">
        <v>3</v>
      </c>
      <c r="H41" s="237">
        <v>4</v>
      </c>
      <c r="I41" s="237">
        <v>5</v>
      </c>
      <c r="J41" s="237">
        <v>6</v>
      </c>
      <c r="K41" s="237">
        <v>7</v>
      </c>
      <c r="L41" s="237">
        <v>8</v>
      </c>
      <c r="M41" s="237">
        <v>9</v>
      </c>
      <c r="N41" s="359"/>
      <c r="O41" s="359"/>
      <c r="P41" s="359"/>
      <c r="Q41" s="359"/>
      <c r="R41" s="359"/>
    </row>
    <row r="42" spans="1:18" ht="15" customHeight="1" x14ac:dyDescent="0.25">
      <c r="A42" s="168" t="s">
        <v>364</v>
      </c>
      <c r="B42" s="210" t="s">
        <v>298</v>
      </c>
      <c r="C42" s="258">
        <v>200</v>
      </c>
      <c r="D42" s="211">
        <v>50371.756499999996</v>
      </c>
      <c r="E42" s="212">
        <v>50927.72255157218</v>
      </c>
      <c r="F42" s="212">
        <v>51489.824943664891</v>
      </c>
      <c r="G42" s="212">
        <v>52058.131404649088</v>
      </c>
      <c r="H42" s="212">
        <v>52632.710410431195</v>
      </c>
      <c r="I42" s="212">
        <v>53213.631192703891</v>
      </c>
      <c r="J42" s="212">
        <v>53800.963747287853</v>
      </c>
      <c r="K42" s="212">
        <v>54394.778842565662</v>
      </c>
      <c r="L42" s="212">
        <v>54995.148028008771</v>
      </c>
      <c r="M42" s="213">
        <v>55602.143642798583</v>
      </c>
      <c r="N42" s="235"/>
      <c r="O42" s="235"/>
      <c r="P42" s="235"/>
      <c r="Q42" s="235"/>
      <c r="R42" s="235"/>
    </row>
    <row r="43" spans="1:18" ht="15" customHeight="1" x14ac:dyDescent="0.25">
      <c r="A43" s="370" t="s">
        <v>403</v>
      </c>
      <c r="B43" s="210"/>
      <c r="C43" s="258"/>
      <c r="D43" s="211"/>
      <c r="E43" s="212"/>
      <c r="F43" s="212"/>
      <c r="G43" s="212"/>
      <c r="H43" s="212"/>
      <c r="I43" s="212"/>
      <c r="J43" s="212"/>
      <c r="K43" s="212"/>
      <c r="L43" s="212"/>
      <c r="M43" s="213"/>
      <c r="N43" s="235"/>
      <c r="O43" s="235"/>
      <c r="P43" s="235"/>
      <c r="Q43" s="235"/>
      <c r="R43" s="235"/>
    </row>
    <row r="44" spans="1:18" ht="15" customHeight="1" x14ac:dyDescent="0.25">
      <c r="A44" s="246" t="s">
        <v>361</v>
      </c>
      <c r="B44" s="214" t="s">
        <v>299</v>
      </c>
      <c r="C44" s="259">
        <v>200</v>
      </c>
      <c r="D44" s="215">
        <v>54502.240532999997</v>
      </c>
      <c r="E44" s="216">
        <v>55103.79580080109</v>
      </c>
      <c r="F44" s="216">
        <v>55711.990589045381</v>
      </c>
      <c r="G44" s="216">
        <v>56326.898179830263</v>
      </c>
      <c r="H44" s="216">
        <v>56948.5926640865</v>
      </c>
      <c r="I44" s="216">
        <v>57577.148950505543</v>
      </c>
      <c r="J44" s="216">
        <v>58212.642774565371</v>
      </c>
      <c r="K44" s="216">
        <v>58855.150707655943</v>
      </c>
      <c r="L44" s="216">
        <v>59504.75016630537</v>
      </c>
      <c r="M44" s="217">
        <v>60161.519421507917</v>
      </c>
      <c r="N44" s="235"/>
      <c r="O44" s="235"/>
      <c r="P44" s="235"/>
      <c r="Q44" s="235"/>
      <c r="R44" s="235"/>
    </row>
    <row r="45" spans="1:18" ht="15" customHeight="1" x14ac:dyDescent="0.25">
      <c r="A45" s="247" t="s">
        <v>362</v>
      </c>
      <c r="B45" s="206"/>
      <c r="C45" s="260"/>
      <c r="D45" s="207"/>
      <c r="E45" s="208"/>
      <c r="F45" s="208"/>
      <c r="G45" s="208"/>
      <c r="H45" s="208"/>
      <c r="I45" s="208"/>
      <c r="J45" s="208"/>
      <c r="K45" s="208"/>
      <c r="L45" s="208"/>
      <c r="M45" s="209"/>
      <c r="N45" s="235"/>
      <c r="O45" s="235"/>
      <c r="P45" s="235"/>
      <c r="Q45" s="235"/>
      <c r="R45" s="235"/>
    </row>
    <row r="46" spans="1:18" ht="15" customHeight="1" x14ac:dyDescent="0.25">
      <c r="A46" s="151" t="s">
        <v>363</v>
      </c>
      <c r="B46" s="257" t="s">
        <v>300</v>
      </c>
      <c r="C46" s="261">
        <v>200</v>
      </c>
      <c r="D46" s="256">
        <v>58644.41081350801</v>
      </c>
      <c r="E46" s="226">
        <v>59291.684281661997</v>
      </c>
      <c r="F46" s="226">
        <v>59946.10187381287</v>
      </c>
      <c r="G46" s="226">
        <v>60607.742441497423</v>
      </c>
      <c r="H46" s="226">
        <v>61276.685706557138</v>
      </c>
      <c r="I46" s="226">
        <v>61953.012270744046</v>
      </c>
      <c r="J46" s="226">
        <v>62636.80362543244</v>
      </c>
      <c r="K46" s="226">
        <v>63328.142161437907</v>
      </c>
      <c r="L46" s="226">
        <v>64027.11117894471</v>
      </c>
      <c r="M46" s="227">
        <v>64733.79489754267</v>
      </c>
      <c r="N46" s="235"/>
      <c r="O46" s="235"/>
      <c r="P46" s="235"/>
      <c r="Q46" s="235"/>
      <c r="R46" s="235"/>
    </row>
    <row r="47" spans="1:18" ht="15" customHeight="1" thickBot="1" x14ac:dyDescent="0.3">
      <c r="A47" s="168" t="s">
        <v>48</v>
      </c>
      <c r="B47" s="210"/>
      <c r="C47" s="262"/>
      <c r="D47" s="211"/>
      <c r="E47" s="212"/>
      <c r="F47" s="212"/>
      <c r="G47" s="212"/>
      <c r="H47" s="212"/>
      <c r="I47" s="212"/>
      <c r="J47" s="212"/>
      <c r="K47" s="212"/>
      <c r="L47" s="212"/>
      <c r="M47" s="213"/>
      <c r="N47" s="235"/>
      <c r="O47" s="235"/>
      <c r="P47" s="235"/>
      <c r="Q47" s="235"/>
      <c r="R47" s="235"/>
    </row>
    <row r="48" spans="1:18" ht="32.25" thickBot="1" x14ac:dyDescent="0.3">
      <c r="A48" s="150" t="s">
        <v>366</v>
      </c>
      <c r="B48" s="237" t="s">
        <v>0</v>
      </c>
      <c r="C48" s="229">
        <v>10</v>
      </c>
      <c r="D48" s="237">
        <v>11</v>
      </c>
      <c r="E48" s="237">
        <v>12</v>
      </c>
      <c r="F48" s="237">
        <v>13</v>
      </c>
      <c r="G48" s="237">
        <v>14</v>
      </c>
      <c r="H48" s="237">
        <v>15</v>
      </c>
      <c r="I48" s="237">
        <v>16</v>
      </c>
      <c r="J48" s="237">
        <v>17</v>
      </c>
      <c r="K48" s="237">
        <v>18</v>
      </c>
      <c r="L48" s="237">
        <v>19</v>
      </c>
      <c r="M48" s="237">
        <v>20</v>
      </c>
      <c r="N48" s="359"/>
      <c r="O48" s="359"/>
      <c r="P48" s="359"/>
      <c r="Q48" s="359"/>
      <c r="R48" s="359"/>
    </row>
    <row r="49" spans="1:18" ht="15" customHeight="1" x14ac:dyDescent="0.25">
      <c r="A49" s="168" t="s">
        <v>364</v>
      </c>
      <c r="B49" s="180" t="s">
        <v>298</v>
      </c>
      <c r="C49" s="174">
        <v>56215.838824542669</v>
      </c>
      <c r="D49" s="171">
        <v>56836.307518087226</v>
      </c>
      <c r="E49" s="171">
        <v>57463.624484426757</v>
      </c>
      <c r="F49" s="171">
        <v>58097.865309712121</v>
      </c>
      <c r="G49" s="171">
        <v>58739.106414358008</v>
      </c>
      <c r="H49" s="248">
        <v>59387.425062250877</v>
      </c>
      <c r="I49" s="248">
        <v>60042.899370058636</v>
      </c>
      <c r="J49" s="248">
        <v>60705.608316642974</v>
      </c>
      <c r="K49" s="248">
        <v>61375.631752575602</v>
      </c>
      <c r="L49" s="248">
        <v>62053.050409759569</v>
      </c>
      <c r="M49" s="253">
        <v>62737.945911156741</v>
      </c>
      <c r="N49" s="269"/>
      <c r="O49" s="269"/>
      <c r="P49" s="269"/>
      <c r="Q49" s="269"/>
      <c r="R49" s="269"/>
    </row>
    <row r="50" spans="1:18" ht="15" customHeight="1" x14ac:dyDescent="0.25">
      <c r="A50" s="370" t="s">
        <v>403</v>
      </c>
      <c r="B50" s="181"/>
      <c r="C50" s="175"/>
      <c r="D50" s="172"/>
      <c r="E50" s="172"/>
      <c r="F50" s="172"/>
      <c r="G50" s="172"/>
      <c r="H50" s="244"/>
      <c r="I50" s="244"/>
      <c r="J50" s="244"/>
      <c r="K50" s="244"/>
      <c r="L50" s="244"/>
      <c r="M50" s="249"/>
      <c r="N50" s="269"/>
      <c r="O50" s="269"/>
      <c r="P50" s="269"/>
      <c r="Q50" s="269"/>
      <c r="R50" s="269"/>
    </row>
    <row r="51" spans="1:18" ht="15" customHeight="1" x14ac:dyDescent="0.25">
      <c r="A51" s="246" t="s">
        <v>361</v>
      </c>
      <c r="B51" s="184" t="s">
        <v>299</v>
      </c>
      <c r="C51" s="156">
        <v>60825.537608155006</v>
      </c>
      <c r="D51" s="155">
        <v>61496.884734570194</v>
      </c>
      <c r="E51" s="155">
        <v>62175.641692149547</v>
      </c>
      <c r="F51" s="155">
        <v>62861.890265108312</v>
      </c>
      <c r="G51" s="155">
        <v>63555.713140335145</v>
      </c>
      <c r="H51" s="169">
        <v>64257.193917355216</v>
      </c>
      <c r="I51" s="169">
        <v>64966.417118403202</v>
      </c>
      <c r="J51" s="169">
        <v>65683.468198607428</v>
      </c>
      <c r="K51" s="169">
        <v>66408.433556286516</v>
      </c>
      <c r="L51" s="169">
        <v>67141.400543359559</v>
      </c>
      <c r="M51" s="250">
        <v>67882.457475871284</v>
      </c>
      <c r="N51" s="269"/>
      <c r="O51" s="269"/>
      <c r="P51" s="269"/>
      <c r="Q51" s="269"/>
      <c r="R51" s="269"/>
    </row>
    <row r="52" spans="1:18" ht="15" customHeight="1" x14ac:dyDescent="0.25">
      <c r="A52" s="247" t="s">
        <v>362</v>
      </c>
      <c r="B52" s="182"/>
      <c r="C52" s="157"/>
      <c r="D52" s="153"/>
      <c r="E52" s="153"/>
      <c r="F52" s="153"/>
      <c r="G52" s="153"/>
      <c r="H52" s="170"/>
      <c r="I52" s="170"/>
      <c r="J52" s="170"/>
      <c r="K52" s="170"/>
      <c r="L52" s="170"/>
      <c r="M52" s="251"/>
      <c r="N52" s="269"/>
      <c r="O52" s="269"/>
      <c r="P52" s="269"/>
      <c r="Q52" s="269"/>
      <c r="R52" s="269"/>
    </row>
    <row r="53" spans="1:18" ht="15" customHeight="1" x14ac:dyDescent="0.25">
      <c r="A53" s="151" t="s">
        <v>363</v>
      </c>
      <c r="B53" s="266" t="s">
        <v>300</v>
      </c>
      <c r="C53" s="188">
        <v>65448.278466374963</v>
      </c>
      <c r="D53" s="165">
        <v>66170.647974397711</v>
      </c>
      <c r="E53" s="165">
        <v>66900.990460753121</v>
      </c>
      <c r="F53" s="165">
        <v>67639.393925256751</v>
      </c>
      <c r="G53" s="165">
        <v>68385.94733900085</v>
      </c>
      <c r="H53" s="241">
        <v>69140.740655074464</v>
      </c>
      <c r="I53" s="241">
        <v>69903.864819402093</v>
      </c>
      <c r="J53" s="241">
        <v>70675.41178170187</v>
      </c>
      <c r="K53" s="241">
        <v>71455.474506564598</v>
      </c>
      <c r="L53" s="241">
        <v>72244.146984655206</v>
      </c>
      <c r="M53" s="252">
        <v>73041.52424403785</v>
      </c>
      <c r="N53" s="269"/>
      <c r="O53" s="269"/>
      <c r="P53" s="269"/>
      <c r="Q53" s="269"/>
      <c r="R53" s="269"/>
    </row>
    <row r="54" spans="1:18" ht="15" customHeight="1" thickBot="1" x14ac:dyDescent="0.3">
      <c r="A54" s="168" t="s">
        <v>48</v>
      </c>
      <c r="B54" s="183"/>
      <c r="C54" s="158"/>
      <c r="D54" s="154"/>
      <c r="E54" s="154"/>
      <c r="F54" s="154"/>
      <c r="G54" s="154"/>
      <c r="H54" s="242"/>
      <c r="I54" s="242"/>
      <c r="J54" s="242"/>
      <c r="K54" s="242"/>
      <c r="L54" s="242"/>
      <c r="M54" s="179"/>
      <c r="N54" s="269"/>
      <c r="O54" s="269"/>
      <c r="P54" s="269"/>
      <c r="Q54" s="269"/>
      <c r="R54" s="269"/>
    </row>
    <row r="55" spans="1:18" ht="32.25" thickBot="1" x14ac:dyDescent="0.3">
      <c r="A55" s="150" t="s">
        <v>366</v>
      </c>
      <c r="B55" s="237" t="s">
        <v>0</v>
      </c>
      <c r="C55" s="229">
        <v>21</v>
      </c>
      <c r="D55" s="237">
        <v>22</v>
      </c>
      <c r="E55" s="237">
        <v>23</v>
      </c>
      <c r="F55" s="237">
        <v>24</v>
      </c>
      <c r="G55" s="237">
        <v>25</v>
      </c>
      <c r="H55" s="237">
        <v>26</v>
      </c>
      <c r="I55" s="237">
        <v>27</v>
      </c>
      <c r="J55" s="237">
        <v>28</v>
      </c>
      <c r="K55" s="237">
        <v>29</v>
      </c>
      <c r="L55" s="237" t="s">
        <v>355</v>
      </c>
      <c r="M55" s="237"/>
      <c r="N55" s="359"/>
      <c r="O55" s="359"/>
      <c r="P55" s="359"/>
      <c r="Q55" s="359"/>
      <c r="R55" s="359"/>
    </row>
    <row r="56" spans="1:18" ht="15" customHeight="1" x14ac:dyDescent="0.25">
      <c r="A56" s="168" t="s">
        <v>364</v>
      </c>
      <c r="B56" s="180" t="s">
        <v>298</v>
      </c>
      <c r="C56" s="263">
        <v>63430.400780622651</v>
      </c>
      <c r="D56" s="248">
        <v>64130.498452849817</v>
      </c>
      <c r="E56" s="248">
        <v>64838.323283421036</v>
      </c>
      <c r="F56" s="248">
        <v>65553.960558973355</v>
      </c>
      <c r="G56" s="248">
        <v>66277.496507474396</v>
      </c>
      <c r="H56" s="248">
        <v>67009.018308612111</v>
      </c>
      <c r="I56" s="248">
        <v>67748.614104299064</v>
      </c>
      <c r="J56" s="248">
        <v>68496.373009292874</v>
      </c>
      <c r="K56" s="248">
        <v>69252.385121933665</v>
      </c>
      <c r="L56" s="248">
        <v>70016.741535000139</v>
      </c>
      <c r="M56" s="253"/>
      <c r="N56" s="269"/>
      <c r="O56" s="269"/>
      <c r="P56" s="269"/>
      <c r="Q56" s="269"/>
      <c r="R56" s="269"/>
    </row>
    <row r="57" spans="1:18" ht="15" customHeight="1" x14ac:dyDescent="0.25">
      <c r="A57" s="370" t="s">
        <v>403</v>
      </c>
      <c r="B57" s="181"/>
      <c r="C57" s="264"/>
      <c r="D57" s="244"/>
      <c r="E57" s="244"/>
      <c r="F57" s="244"/>
      <c r="G57" s="244"/>
      <c r="H57" s="244"/>
      <c r="I57" s="244"/>
      <c r="J57" s="244"/>
      <c r="K57" s="244"/>
      <c r="L57" s="244"/>
      <c r="M57" s="249"/>
      <c r="N57" s="269"/>
      <c r="O57" s="269"/>
      <c r="P57" s="269"/>
      <c r="Q57" s="269"/>
      <c r="R57" s="269"/>
    </row>
    <row r="58" spans="1:18" ht="15" customHeight="1" x14ac:dyDescent="0.25">
      <c r="A58" s="246" t="s">
        <v>361</v>
      </c>
      <c r="B58" s="185" t="s">
        <v>299</v>
      </c>
      <c r="C58" s="160">
        <v>68631.693644633371</v>
      </c>
      <c r="D58" s="189">
        <v>69389.199325983151</v>
      </c>
      <c r="E58" s="189">
        <v>70155.065792661189</v>
      </c>
      <c r="F58" s="189">
        <v>70929.385324808783</v>
      </c>
      <c r="G58" s="189">
        <v>71712.251221086888</v>
      </c>
      <c r="H58" s="189">
        <v>72503.757809917865</v>
      </c>
      <c r="I58" s="189">
        <v>73304.000460851137</v>
      </c>
      <c r="J58" s="189">
        <v>74113.075596054419</v>
      </c>
      <c r="K58" s="189">
        <v>74931.080701931729</v>
      </c>
      <c r="L58" s="189">
        <v>75758.114340869637</v>
      </c>
      <c r="M58" s="178"/>
      <c r="N58" s="269"/>
      <c r="O58" s="269"/>
      <c r="P58" s="269"/>
      <c r="Q58" s="269"/>
      <c r="R58" s="269"/>
    </row>
    <row r="59" spans="1:18" ht="15" customHeight="1" x14ac:dyDescent="0.25">
      <c r="A59" s="247" t="s">
        <v>362</v>
      </c>
      <c r="B59" s="182"/>
      <c r="C59" s="162"/>
      <c r="D59" s="170"/>
      <c r="E59" s="170"/>
      <c r="F59" s="170"/>
      <c r="G59" s="170"/>
      <c r="H59" s="170"/>
      <c r="I59" s="170"/>
      <c r="J59" s="170"/>
      <c r="K59" s="170"/>
      <c r="L59" s="170"/>
      <c r="M59" s="251"/>
      <c r="N59" s="269"/>
      <c r="O59" s="269"/>
      <c r="P59" s="269"/>
      <c r="Q59" s="269"/>
      <c r="R59" s="269"/>
    </row>
    <row r="60" spans="1:18" ht="15" customHeight="1" x14ac:dyDescent="0.25">
      <c r="A60" s="151" t="s">
        <v>363</v>
      </c>
      <c r="B60" s="266" t="s">
        <v>300</v>
      </c>
      <c r="C60" s="265">
        <v>73847.702361625867</v>
      </c>
      <c r="D60" s="241">
        <v>74662.778474758248</v>
      </c>
      <c r="E60" s="241">
        <v>75486.850792903846</v>
      </c>
      <c r="F60" s="241">
        <v>76320.018609494669</v>
      </c>
      <c r="G60" s="241">
        <v>77162.382313889932</v>
      </c>
      <c r="H60" s="241">
        <v>78014.043403472097</v>
      </c>
      <c r="I60" s="241">
        <v>78875.104495876309</v>
      </c>
      <c r="J60" s="241">
        <v>79745.669341355053</v>
      </c>
      <c r="K60" s="241">
        <v>80625.842835279065</v>
      </c>
      <c r="L60" s="241">
        <v>81515.731030776267</v>
      </c>
      <c r="M60" s="252"/>
      <c r="N60" s="269"/>
      <c r="O60" s="269"/>
      <c r="P60" s="269"/>
      <c r="Q60" s="269"/>
      <c r="R60" s="269"/>
    </row>
    <row r="61" spans="1:18" ht="15" customHeight="1" thickBot="1" x14ac:dyDescent="0.3">
      <c r="A61" s="254" t="s">
        <v>48</v>
      </c>
      <c r="B61" s="267"/>
      <c r="C61" s="161"/>
      <c r="D61" s="243"/>
      <c r="E61" s="243"/>
      <c r="F61" s="243"/>
      <c r="G61" s="243"/>
      <c r="H61" s="243"/>
      <c r="I61" s="243"/>
      <c r="J61" s="243"/>
      <c r="K61" s="243"/>
      <c r="L61" s="243"/>
      <c r="M61" s="255"/>
      <c r="N61" s="269"/>
      <c r="O61" s="269"/>
      <c r="P61" s="269"/>
      <c r="Q61" s="269"/>
      <c r="R61" s="269"/>
    </row>
    <row r="62" spans="1:18" x14ac:dyDescent="0.25">
      <c r="A62" s="166"/>
      <c r="B62" s="238"/>
      <c r="C62" s="177"/>
      <c r="D62" s="177"/>
      <c r="E62" s="177"/>
      <c r="F62" s="177"/>
      <c r="G62" s="177"/>
      <c r="H62" s="177"/>
      <c r="I62" s="177"/>
      <c r="J62" s="177"/>
      <c r="K62" s="177"/>
      <c r="L62" s="177"/>
      <c r="M62" s="177"/>
      <c r="N62" s="177"/>
      <c r="O62" s="177"/>
      <c r="P62" s="177"/>
      <c r="Q62" s="177"/>
      <c r="R62" s="177"/>
    </row>
    <row r="63" spans="1:18" x14ac:dyDescent="0.25">
      <c r="A63" s="239" t="s">
        <v>354</v>
      </c>
    </row>
    <row r="64" spans="1:18" x14ac:dyDescent="0.25">
      <c r="A64" s="166" t="s">
        <v>407</v>
      </c>
    </row>
    <row r="65" spans="1:18" x14ac:dyDescent="0.25">
      <c r="A65" s="144" t="s">
        <v>408</v>
      </c>
    </row>
    <row r="66" spans="1:18" x14ac:dyDescent="0.25">
      <c r="A66" s="144" t="s">
        <v>409</v>
      </c>
    </row>
    <row r="67" spans="1:18" ht="88.5" customHeight="1" thickBot="1" x14ac:dyDescent="0.3"/>
    <row r="68" spans="1:18" ht="28.5" customHeight="1" thickBot="1" x14ac:dyDescent="0.3">
      <c r="A68" s="143" t="s">
        <v>402</v>
      </c>
      <c r="B68" s="366" t="s">
        <v>357</v>
      </c>
      <c r="C68" s="367"/>
      <c r="D68" s="367"/>
      <c r="E68" s="367"/>
      <c r="F68" s="367"/>
      <c r="G68" s="367"/>
      <c r="H68" s="367"/>
      <c r="I68" s="367"/>
      <c r="J68" s="367"/>
      <c r="K68" s="367"/>
      <c r="L68" s="367"/>
      <c r="M68" s="367"/>
      <c r="N68" s="186"/>
      <c r="O68" s="186"/>
      <c r="P68" s="186"/>
      <c r="Q68" s="186"/>
      <c r="R68" s="187"/>
    </row>
    <row r="69" spans="1:18" ht="32.25" thickBot="1" x14ac:dyDescent="0.3">
      <c r="A69" s="339" t="s">
        <v>348</v>
      </c>
      <c r="B69" s="237" t="s">
        <v>0</v>
      </c>
      <c r="C69" s="237" t="s">
        <v>2</v>
      </c>
      <c r="D69" s="316">
        <v>0</v>
      </c>
      <c r="E69" s="228">
        <v>1</v>
      </c>
      <c r="F69" s="228">
        <v>2</v>
      </c>
      <c r="G69" s="228">
        <v>3</v>
      </c>
      <c r="H69" s="228">
        <v>4</v>
      </c>
      <c r="I69" s="228">
        <v>5</v>
      </c>
      <c r="J69" s="228">
        <v>6</v>
      </c>
      <c r="K69" s="228">
        <v>7</v>
      </c>
      <c r="L69" s="228">
        <v>8</v>
      </c>
      <c r="M69" s="228">
        <v>9</v>
      </c>
      <c r="N69" s="228">
        <v>10</v>
      </c>
      <c r="O69" s="228">
        <v>11</v>
      </c>
      <c r="P69" s="228">
        <v>12</v>
      </c>
      <c r="Q69" s="228">
        <v>13</v>
      </c>
      <c r="R69" s="245">
        <v>14</v>
      </c>
    </row>
    <row r="70" spans="1:18" ht="15" customHeight="1" x14ac:dyDescent="0.25">
      <c r="A70" s="334" t="s">
        <v>385</v>
      </c>
      <c r="B70" s="341" t="s">
        <v>302</v>
      </c>
      <c r="C70" s="341">
        <v>180</v>
      </c>
      <c r="D70" s="313">
        <v>13365</v>
      </c>
      <c r="E70" s="296">
        <v>13589.967805666702</v>
      </c>
      <c r="F70" s="296">
        <v>13818.722406214549</v>
      </c>
      <c r="G70" s="296">
        <v>14051.327543277279</v>
      </c>
      <c r="H70" s="296">
        <v>14287.848031426563</v>
      </c>
      <c r="I70" s="296">
        <v>14528.349776232353</v>
      </c>
      <c r="J70" s="296">
        <v>14772.899792627211</v>
      </c>
      <c r="K70" s="296">
        <v>15021.566223579806</v>
      </c>
      <c r="L70" s="296">
        <v>15274.418359082672</v>
      </c>
      <c r="M70" s="296">
        <v>15531.526655459629</v>
      </c>
      <c r="N70" s="296">
        <v>15792.962754998172</v>
      </c>
      <c r="O70" s="296">
        <v>16058.79950591234</v>
      </c>
      <c r="P70" s="296">
        <v>16329.110982641609</v>
      </c>
      <c r="Q70" s="296">
        <v>16603.972506491435</v>
      </c>
      <c r="R70" s="297">
        <v>16883.460666621297</v>
      </c>
    </row>
    <row r="71" spans="1:18" ht="15" customHeight="1" x14ac:dyDescent="0.25">
      <c r="A71" s="318" t="s">
        <v>14</v>
      </c>
      <c r="B71" s="342" t="s">
        <v>302</v>
      </c>
      <c r="C71" s="342">
        <v>200</v>
      </c>
      <c r="D71" s="304">
        <v>20250</v>
      </c>
      <c r="E71" s="270">
        <v>20590.860311616216</v>
      </c>
      <c r="F71" s="270">
        <v>20937.458191234164</v>
      </c>
      <c r="G71" s="270">
        <v>21289.890217086788</v>
      </c>
      <c r="H71" s="270">
        <v>21648.254593070549</v>
      </c>
      <c r="I71" s="270">
        <v>22012.651176109626</v>
      </c>
      <c r="J71" s="270">
        <v>22383.181503980624</v>
      </c>
      <c r="K71" s="270">
        <v>22759.94882360577</v>
      </c>
      <c r="L71" s="270">
        <v>23143.058119822232</v>
      </c>
      <c r="M71" s="270">
        <v>23532.616144635802</v>
      </c>
      <c r="N71" s="270">
        <v>23928.731446966929</v>
      </c>
      <c r="O71" s="270">
        <v>24331.51440289749</v>
      </c>
      <c r="P71" s="270">
        <v>24741.077246426677</v>
      </c>
      <c r="Q71" s="270">
        <v>25157.534100744597</v>
      </c>
      <c r="R71" s="271">
        <v>25581.001010032269</v>
      </c>
    </row>
    <row r="72" spans="1:18" ht="15" customHeight="1" x14ac:dyDescent="0.25">
      <c r="A72" s="337" t="s">
        <v>384</v>
      </c>
      <c r="B72" s="342" t="s">
        <v>302</v>
      </c>
      <c r="C72" s="342">
        <v>250</v>
      </c>
      <c r="D72" s="304">
        <v>27000</v>
      </c>
      <c r="E72" s="270">
        <v>27454.480415488288</v>
      </c>
      <c r="F72" s="270">
        <v>27916.610921645552</v>
      </c>
      <c r="G72" s="270">
        <v>28386.52028944905</v>
      </c>
      <c r="H72" s="270">
        <v>28864.339457427403</v>
      </c>
      <c r="I72" s="270">
        <v>29350.201568146163</v>
      </c>
      <c r="J72" s="270">
        <v>29844.2420053075</v>
      </c>
      <c r="K72" s="270">
        <v>30346.598431474358</v>
      </c>
      <c r="L72" s="270">
        <v>30857.410826429641</v>
      </c>
      <c r="M72" s="270">
        <v>31376.821526181069</v>
      </c>
      <c r="N72" s="270">
        <v>31904.975262622571</v>
      </c>
      <c r="O72" s="270">
        <v>32442.019203863318</v>
      </c>
      <c r="P72" s="270">
        <v>32988.102995235575</v>
      </c>
      <c r="Q72" s="270">
        <v>33543.378800992796</v>
      </c>
      <c r="R72" s="271">
        <v>34108.001346709694</v>
      </c>
    </row>
    <row r="73" spans="1:18" ht="15" customHeight="1" x14ac:dyDescent="0.25">
      <c r="A73" s="148" t="s">
        <v>375</v>
      </c>
      <c r="B73" s="202" t="s">
        <v>303</v>
      </c>
      <c r="C73" s="202">
        <v>200</v>
      </c>
      <c r="D73" s="305">
        <v>21465</v>
      </c>
      <c r="E73" s="272">
        <v>21826.311930313186</v>
      </c>
      <c r="F73" s="272">
        <v>22193.705682708205</v>
      </c>
      <c r="G73" s="272">
        <v>22567.283630111979</v>
      </c>
      <c r="H73" s="272">
        <v>22947.14986865476</v>
      </c>
      <c r="I73" s="272">
        <v>23333.410246676172</v>
      </c>
      <c r="J73" s="272">
        <v>23726.172394219429</v>
      </c>
      <c r="K73" s="272">
        <v>24125.545753022074</v>
      </c>
      <c r="L73" s="272">
        <v>24531.641607011519</v>
      </c>
      <c r="M73" s="272">
        <v>24944.573113313898</v>
      </c>
      <c r="N73" s="272">
        <v>25364.455333784888</v>
      </c>
      <c r="O73" s="272">
        <v>25791.405267071277</v>
      </c>
      <c r="P73" s="272">
        <v>26225.541881212212</v>
      </c>
      <c r="Q73" s="272">
        <v>26666.986146789201</v>
      </c>
      <c r="R73" s="325">
        <v>27115.861070634124</v>
      </c>
    </row>
    <row r="74" spans="1:18" ht="15" customHeight="1" x14ac:dyDescent="0.25">
      <c r="A74" s="321" t="s">
        <v>159</v>
      </c>
      <c r="B74" s="198" t="s">
        <v>304</v>
      </c>
      <c r="C74" s="198">
        <v>250</v>
      </c>
      <c r="D74" s="315">
        <v>28441.125000000004</v>
      </c>
      <c r="E74" s="303">
        <v>28919.863307664971</v>
      </c>
      <c r="F74" s="303">
        <v>29406.660029588373</v>
      </c>
      <c r="G74" s="303">
        <v>29901.650809898369</v>
      </c>
      <c r="H74" s="303">
        <v>30404.973575967557</v>
      </c>
      <c r="I74" s="303">
        <v>30916.768576845923</v>
      </c>
      <c r="J74" s="303">
        <v>31437.178422340734</v>
      </c>
      <c r="K74" s="303">
        <v>31966.34812275424</v>
      </c>
      <c r="L74" s="303">
        <v>32504.425129290255</v>
      </c>
      <c r="M74" s="303">
        <v>33051.559375140903</v>
      </c>
      <c r="N74" s="303">
        <v>33607.903317264965</v>
      </c>
      <c r="O74" s="303">
        <v>34173.611978869427</v>
      </c>
      <c r="P74" s="303">
        <v>34748.842992606165</v>
      </c>
      <c r="Q74" s="303">
        <v>35333.756644495668</v>
      </c>
      <c r="R74" s="328">
        <v>35928.515918590194</v>
      </c>
    </row>
    <row r="75" spans="1:18" ht="15" customHeight="1" x14ac:dyDescent="0.25">
      <c r="A75" s="168" t="s">
        <v>71</v>
      </c>
      <c r="B75" s="277" t="s">
        <v>305</v>
      </c>
      <c r="C75" s="277">
        <v>200</v>
      </c>
      <c r="D75" s="278">
        <v>24118.074000000008</v>
      </c>
      <c r="E75" s="278">
        <v>24524.044084899895</v>
      </c>
      <c r="F75" s="278">
        <v>24936.847705090942</v>
      </c>
      <c r="G75" s="278">
        <v>25356.599886793825</v>
      </c>
      <c r="H75" s="278">
        <v>25783.417592420497</v>
      </c>
      <c r="I75" s="278">
        <v>26217.419753165352</v>
      </c>
      <c r="J75" s="278">
        <v>26658.727302144955</v>
      </c>
      <c r="K75" s="278">
        <v>27107.463208095607</v>
      </c>
      <c r="L75" s="278">
        <v>27563.752509638143</v>
      </c>
      <c r="M75" s="278">
        <v>28027.7223501195</v>
      </c>
      <c r="N75" s="278">
        <v>28499.502013040703</v>
      </c>
      <c r="O75" s="278">
        <v>28979.222958081293</v>
      </c>
      <c r="P75" s="278">
        <v>29467.018857730047</v>
      </c>
      <c r="Q75" s="278">
        <v>29963.025634532351</v>
      </c>
      <c r="R75" s="279">
        <v>30467.381498964511</v>
      </c>
    </row>
    <row r="76" spans="1:18" ht="15" customHeight="1" x14ac:dyDescent="0.25">
      <c r="A76" s="350" t="s">
        <v>377</v>
      </c>
      <c r="B76" s="343" t="s">
        <v>305</v>
      </c>
      <c r="C76" s="343">
        <v>250</v>
      </c>
      <c r="D76" s="306">
        <v>30147.592500000006</v>
      </c>
      <c r="E76" s="280">
        <v>30655.055106124873</v>
      </c>
      <c r="F76" s="280">
        <v>31171.059631363678</v>
      </c>
      <c r="G76" s="280">
        <v>31695.749858492276</v>
      </c>
      <c r="H76" s="280">
        <v>32229.271990525627</v>
      </c>
      <c r="I76" s="280">
        <v>32771.774691456689</v>
      </c>
      <c r="J76" s="280">
        <v>33323.409127681189</v>
      </c>
      <c r="K76" s="280">
        <v>33884.329010119509</v>
      </c>
      <c r="L76" s="280">
        <v>34454.690637047679</v>
      </c>
      <c r="M76" s="280">
        <v>35034.652937649371</v>
      </c>
      <c r="N76" s="280">
        <v>35624.377516300883</v>
      </c>
      <c r="O76" s="280">
        <v>36224.028697601621</v>
      </c>
      <c r="P76" s="280">
        <v>36833.773572162565</v>
      </c>
      <c r="Q76" s="280">
        <v>37453.782043165433</v>
      </c>
      <c r="R76" s="281">
        <v>38084.226873705644</v>
      </c>
    </row>
    <row r="77" spans="1:18" ht="15" customHeight="1" x14ac:dyDescent="0.25">
      <c r="A77" s="351" t="s">
        <v>245</v>
      </c>
      <c r="B77" s="277"/>
      <c r="C77" s="277"/>
      <c r="D77" s="278"/>
      <c r="E77" s="282"/>
      <c r="F77" s="282"/>
      <c r="G77" s="282"/>
      <c r="H77" s="282"/>
      <c r="I77" s="282"/>
      <c r="J77" s="282"/>
      <c r="K77" s="282"/>
      <c r="L77" s="282"/>
      <c r="M77" s="282"/>
      <c r="N77" s="282"/>
      <c r="O77" s="282"/>
      <c r="P77" s="282"/>
      <c r="Q77" s="282"/>
      <c r="R77" s="283"/>
    </row>
    <row r="78" spans="1:18" ht="15" customHeight="1" x14ac:dyDescent="0.25">
      <c r="A78" s="351" t="s">
        <v>398</v>
      </c>
      <c r="B78" s="277"/>
      <c r="C78" s="277"/>
      <c r="D78" s="278"/>
      <c r="E78" s="282"/>
      <c r="F78" s="282"/>
      <c r="G78" s="282"/>
      <c r="H78" s="282"/>
      <c r="I78" s="282"/>
      <c r="J78" s="282"/>
      <c r="K78" s="282"/>
      <c r="L78" s="282"/>
      <c r="M78" s="282"/>
      <c r="N78" s="282"/>
      <c r="O78" s="282"/>
      <c r="P78" s="282"/>
      <c r="Q78" s="282"/>
      <c r="R78" s="283"/>
    </row>
    <row r="79" spans="1:18" ht="15" customHeight="1" x14ac:dyDescent="0.25">
      <c r="A79" s="151" t="s">
        <v>382</v>
      </c>
      <c r="B79" s="343" t="s">
        <v>305</v>
      </c>
      <c r="C79" s="343">
        <v>250</v>
      </c>
      <c r="D79" s="306">
        <v>32157.432000000008</v>
      </c>
      <c r="E79" s="280">
        <v>32698.725446533197</v>
      </c>
      <c r="F79" s="280">
        <v>33249.13027345459</v>
      </c>
      <c r="G79" s="280">
        <v>33808.799849058429</v>
      </c>
      <c r="H79" s="280">
        <v>34377.890123227335</v>
      </c>
      <c r="I79" s="280">
        <v>34956.559670887138</v>
      </c>
      <c r="J79" s="280">
        <v>35544.96973619327</v>
      </c>
      <c r="K79" s="280">
        <v>36143.284277460807</v>
      </c>
      <c r="L79" s="280">
        <v>36751.67001285086</v>
      </c>
      <c r="M79" s="280">
        <v>37370.296466825996</v>
      </c>
      <c r="N79" s="280">
        <v>37999.336017387606</v>
      </c>
      <c r="O79" s="280">
        <v>38638.963944108393</v>
      </c>
      <c r="P79" s="280">
        <v>39289.358476973401</v>
      </c>
      <c r="Q79" s="280">
        <v>39950.700846043132</v>
      </c>
      <c r="R79" s="281">
        <v>40623.175331952683</v>
      </c>
    </row>
    <row r="80" spans="1:18" ht="15" customHeight="1" x14ac:dyDescent="0.25">
      <c r="A80" s="152" t="s">
        <v>383</v>
      </c>
      <c r="B80" s="344"/>
      <c r="C80" s="344"/>
      <c r="D80" s="307"/>
      <c r="E80" s="284"/>
      <c r="F80" s="284"/>
      <c r="G80" s="284"/>
      <c r="H80" s="284"/>
      <c r="I80" s="284"/>
      <c r="J80" s="284"/>
      <c r="K80" s="284"/>
      <c r="L80" s="284"/>
      <c r="M80" s="284"/>
      <c r="N80" s="284"/>
      <c r="O80" s="284"/>
      <c r="P80" s="284"/>
      <c r="Q80" s="284"/>
      <c r="R80" s="285"/>
    </row>
    <row r="81" spans="1:18" ht="15" customHeight="1" x14ac:dyDescent="0.25">
      <c r="A81" s="246" t="s">
        <v>381</v>
      </c>
      <c r="B81" s="214" t="s">
        <v>306</v>
      </c>
      <c r="C81" s="214">
        <v>180</v>
      </c>
      <c r="D81" s="299">
        <v>21474.733089600006</v>
      </c>
      <c r="E81" s="273">
        <v>21836.208853194872</v>
      </c>
      <c r="F81" s="273">
        <v>22203.769196612986</v>
      </c>
      <c r="G81" s="273">
        <v>22577.516539201231</v>
      </c>
      <c r="H81" s="273">
        <v>22957.555024291225</v>
      </c>
      <c r="I81" s="273">
        <v>23343.990548218451</v>
      </c>
      <c r="J81" s="273">
        <v>23736.930789829894</v>
      </c>
      <c r="K81" s="273">
        <v>24136.485240488364</v>
      </c>
      <c r="L81" s="273">
        <v>24542.765234581846</v>
      </c>
      <c r="M81" s="273">
        <v>24955.883980546449</v>
      </c>
      <c r="N81" s="273">
        <v>25375.95659241149</v>
      </c>
      <c r="O81" s="273">
        <v>25803.100121875639</v>
      </c>
      <c r="P81" s="273">
        <v>26237.433590922894</v>
      </c>
      <c r="Q81" s="273">
        <v>26679.07802498767</v>
      </c>
      <c r="R81" s="274">
        <v>27128.156486678072</v>
      </c>
    </row>
    <row r="82" spans="1:18" ht="15" customHeight="1" x14ac:dyDescent="0.25">
      <c r="A82" s="334" t="s">
        <v>378</v>
      </c>
      <c r="B82" s="206"/>
      <c r="C82" s="206"/>
      <c r="D82" s="301"/>
      <c r="E82" s="275"/>
      <c r="F82" s="275"/>
      <c r="G82" s="275"/>
      <c r="H82" s="275"/>
      <c r="I82" s="275"/>
      <c r="J82" s="275"/>
      <c r="K82" s="275"/>
      <c r="L82" s="275"/>
      <c r="M82" s="275"/>
      <c r="N82" s="275"/>
      <c r="O82" s="275"/>
      <c r="P82" s="275"/>
      <c r="Q82" s="275"/>
      <c r="R82" s="276"/>
    </row>
    <row r="83" spans="1:18" ht="15" customHeight="1" x14ac:dyDescent="0.25">
      <c r="A83" s="338" t="s">
        <v>388</v>
      </c>
      <c r="B83" s="346" t="s">
        <v>306</v>
      </c>
      <c r="C83" s="346">
        <v>250</v>
      </c>
      <c r="D83" s="312">
        <f>17.04*7.5*250</f>
        <v>31950</v>
      </c>
      <c r="E83" s="294">
        <f>17.33*7.5*250</f>
        <v>32493.75</v>
      </c>
      <c r="F83" s="294">
        <f>17.62*7.5*250</f>
        <v>33037.5</v>
      </c>
      <c r="G83" s="294">
        <f>17.92*7.5*250</f>
        <v>33600</v>
      </c>
      <c r="H83" s="294">
        <f>18.22*7.5*250</f>
        <v>34162.499999999993</v>
      </c>
      <c r="I83" s="294">
        <f>18.53*7.5*250</f>
        <v>34743.750000000007</v>
      </c>
      <c r="J83" s="294">
        <f>18.84*7.5*250</f>
        <v>35325</v>
      </c>
      <c r="K83" s="294">
        <f>19.16*7.5*250</f>
        <v>35925</v>
      </c>
      <c r="L83" s="294">
        <f>19.48*7.5*250</f>
        <v>36525</v>
      </c>
      <c r="M83" s="294">
        <f>19.81*7.5*250</f>
        <v>37143.75</v>
      </c>
      <c r="N83" s="294">
        <f>20.14*7.5*250</f>
        <v>37762.5</v>
      </c>
      <c r="O83" s="294">
        <f>20.48*7.5*250</f>
        <v>38400</v>
      </c>
      <c r="P83" s="294">
        <f>20.82*7.5*250</f>
        <v>39037.5</v>
      </c>
      <c r="Q83" s="294">
        <f>21.17*7.5*250</f>
        <v>39693.75</v>
      </c>
      <c r="R83" s="295">
        <f>21.53*7.5*250</f>
        <v>40368.750000000007</v>
      </c>
    </row>
    <row r="84" spans="1:18" ht="15" customHeight="1" x14ac:dyDescent="0.25">
      <c r="A84" s="338" t="s">
        <v>386</v>
      </c>
      <c r="B84" s="346"/>
      <c r="C84" s="346"/>
      <c r="D84" s="312"/>
      <c r="E84" s="294"/>
      <c r="F84" s="294"/>
      <c r="G84" s="294"/>
      <c r="H84" s="294"/>
      <c r="I84" s="294"/>
      <c r="J84" s="294"/>
      <c r="K84" s="294"/>
      <c r="L84" s="294"/>
      <c r="M84" s="294"/>
      <c r="N84" s="294"/>
      <c r="O84" s="294"/>
      <c r="P84" s="294"/>
      <c r="Q84" s="294"/>
      <c r="R84" s="295"/>
    </row>
    <row r="85" spans="1:18" ht="15" customHeight="1" x14ac:dyDescent="0.25">
      <c r="A85" s="151" t="s">
        <v>128</v>
      </c>
      <c r="B85" s="257" t="s">
        <v>307</v>
      </c>
      <c r="C85" s="257">
        <v>250</v>
      </c>
      <c r="D85" s="308">
        <v>33873.834933000013</v>
      </c>
      <c r="E85" s="286">
        <v>34444.019917241909</v>
      </c>
      <c r="F85" s="286">
        <v>35023.802601800235</v>
      </c>
      <c r="G85" s="286">
        <v>35613.344541001927</v>
      </c>
      <c r="H85" s="286">
        <v>36212.810008554596</v>
      </c>
      <c r="I85" s="286">
        <v>36822.366043320741</v>
      </c>
      <c r="J85" s="286">
        <v>37442.182495862595</v>
      </c>
      <c r="K85" s="286">
        <v>38072.432075770288</v>
      </c>
      <c r="L85" s="286">
        <v>38713.290399786783</v>
      </c>
      <c r="M85" s="286">
        <v>39364.936040742847</v>
      </c>
      <c r="N85" s="286">
        <v>40027.550577315669</v>
      </c>
      <c r="O85" s="286">
        <v>40701.318644625178</v>
      </c>
      <c r="P85" s="286">
        <v>41386.427985681854</v>
      </c>
      <c r="Q85" s="286">
        <v>42083.069503700695</v>
      </c>
      <c r="R85" s="287">
        <v>42791.437315295661</v>
      </c>
    </row>
    <row r="86" spans="1:18" ht="15" customHeight="1" x14ac:dyDescent="0.25">
      <c r="A86" s="168" t="s">
        <v>397</v>
      </c>
      <c r="B86" s="210"/>
      <c r="C86" s="210"/>
      <c r="D86" s="309"/>
      <c r="E86" s="288"/>
      <c r="F86" s="288"/>
      <c r="G86" s="288"/>
      <c r="H86" s="288"/>
      <c r="I86" s="288"/>
      <c r="J86" s="288"/>
      <c r="K86" s="288"/>
      <c r="L86" s="288"/>
      <c r="M86" s="288"/>
      <c r="N86" s="288"/>
      <c r="O86" s="288"/>
      <c r="P86" s="288"/>
      <c r="Q86" s="288"/>
      <c r="R86" s="289"/>
    </row>
    <row r="87" spans="1:18" ht="15" customHeight="1" x14ac:dyDescent="0.25">
      <c r="A87" s="168" t="s">
        <v>369</v>
      </c>
      <c r="B87" s="210"/>
      <c r="C87" s="210"/>
      <c r="D87" s="309"/>
      <c r="E87" s="288"/>
      <c r="F87" s="288"/>
      <c r="G87" s="288"/>
      <c r="H87" s="288"/>
      <c r="I87" s="288"/>
      <c r="J87" s="288"/>
      <c r="K87" s="288"/>
      <c r="L87" s="288"/>
      <c r="M87" s="288"/>
      <c r="N87" s="288"/>
      <c r="O87" s="288"/>
      <c r="P87" s="288"/>
      <c r="Q87" s="288"/>
      <c r="R87" s="289"/>
    </row>
    <row r="88" spans="1:18" ht="15" customHeight="1" x14ac:dyDescent="0.25">
      <c r="A88" s="168" t="s">
        <v>387</v>
      </c>
      <c r="B88" s="210"/>
      <c r="C88" s="210"/>
      <c r="D88" s="309"/>
      <c r="E88" s="288"/>
      <c r="F88" s="288"/>
      <c r="G88" s="288"/>
      <c r="H88" s="288"/>
      <c r="I88" s="288"/>
      <c r="J88" s="288"/>
      <c r="K88" s="288"/>
      <c r="L88" s="288"/>
      <c r="M88" s="288"/>
      <c r="N88" s="288"/>
      <c r="O88" s="288"/>
      <c r="P88" s="288"/>
      <c r="Q88" s="288"/>
      <c r="R88" s="289"/>
    </row>
    <row r="89" spans="1:18" ht="15" customHeight="1" x14ac:dyDescent="0.25">
      <c r="A89" s="168" t="s">
        <v>368</v>
      </c>
      <c r="B89" s="210"/>
      <c r="C89" s="210"/>
      <c r="D89" s="309"/>
      <c r="E89" s="288"/>
      <c r="F89" s="288"/>
      <c r="G89" s="288"/>
      <c r="H89" s="288"/>
      <c r="I89" s="288"/>
      <c r="J89" s="288"/>
      <c r="K89" s="288"/>
      <c r="L89" s="288"/>
      <c r="M89" s="288"/>
      <c r="N89" s="288"/>
      <c r="O89" s="288"/>
      <c r="P89" s="288"/>
      <c r="Q89" s="288"/>
      <c r="R89" s="289"/>
    </row>
    <row r="90" spans="1:18" ht="15" customHeight="1" x14ac:dyDescent="0.25">
      <c r="A90" s="152" t="s">
        <v>359</v>
      </c>
      <c r="B90" s="194"/>
      <c r="C90" s="194"/>
      <c r="D90" s="310"/>
      <c r="E90" s="290"/>
      <c r="F90" s="290"/>
      <c r="G90" s="290"/>
      <c r="H90" s="290"/>
      <c r="I90" s="290"/>
      <c r="J90" s="290"/>
      <c r="K90" s="290"/>
      <c r="L90" s="290"/>
      <c r="M90" s="290"/>
      <c r="N90" s="290"/>
      <c r="O90" s="290"/>
      <c r="P90" s="290"/>
      <c r="Q90" s="290"/>
      <c r="R90" s="291"/>
    </row>
    <row r="91" spans="1:18" ht="15" customHeight="1" x14ac:dyDescent="0.25">
      <c r="A91" s="337" t="s">
        <v>389</v>
      </c>
      <c r="B91" s="342" t="s">
        <v>308</v>
      </c>
      <c r="C91" s="342">
        <v>180</v>
      </c>
      <c r="D91" s="304">
        <v>24129.010099474566</v>
      </c>
      <c r="E91" s="270">
        <v>24535.164267449763</v>
      </c>
      <c r="F91" s="270">
        <v>24948.155069314354</v>
      </c>
      <c r="G91" s="270">
        <v>25368.09758344651</v>
      </c>
      <c r="H91" s="270">
        <v>25795.108825293632</v>
      </c>
      <c r="I91" s="270">
        <v>26229.307779978259</v>
      </c>
      <c r="J91" s="270">
        <v>26670.815435452874</v>
      </c>
      <c r="K91" s="270">
        <v>27119.754816212728</v>
      </c>
      <c r="L91" s="270">
        <v>27576.251017576171</v>
      </c>
      <c r="M91" s="270">
        <v>28040.431240541995</v>
      </c>
      <c r="N91" s="270">
        <v>28512.424827233561</v>
      </c>
      <c r="O91" s="270">
        <v>28992.363296939475</v>
      </c>
      <c r="P91" s="270">
        <v>29480.380382760974</v>
      </c>
      <c r="Q91" s="270">
        <v>29976.612068876158</v>
      </c>
      <c r="R91" s="271">
        <v>30481.196628431495</v>
      </c>
    </row>
    <row r="92" spans="1:18" ht="15" customHeight="1" x14ac:dyDescent="0.25">
      <c r="A92" s="320" t="s">
        <v>400</v>
      </c>
      <c r="B92" s="345" t="s">
        <v>308</v>
      </c>
      <c r="C92" s="345">
        <v>250</v>
      </c>
      <c r="D92" s="311">
        <v>35906.265028980008</v>
      </c>
      <c r="E92" s="292">
        <v>36510.661112276437</v>
      </c>
      <c r="F92" s="292">
        <v>37125.23075790827</v>
      </c>
      <c r="G92" s="292">
        <v>37750.14521346207</v>
      </c>
      <c r="H92" s="292">
        <v>38385.578609067896</v>
      </c>
      <c r="I92" s="292">
        <v>39031.708005920031</v>
      </c>
      <c r="J92" s="292">
        <v>39688.713445614398</v>
      </c>
      <c r="K92" s="292">
        <v>40356.778000316561</v>
      </c>
      <c r="L92" s="292">
        <v>41036.087823774069</v>
      </c>
      <c r="M92" s="292">
        <v>41726.832203187492</v>
      </c>
      <c r="N92" s="292">
        <v>42429.203611954705</v>
      </c>
      <c r="O92" s="292">
        <v>43143.39776330279</v>
      </c>
      <c r="P92" s="292">
        <v>43869.613664822878</v>
      </c>
      <c r="Q92" s="292">
        <v>44608.053673922856</v>
      </c>
      <c r="R92" s="293">
        <v>45358.923554213528</v>
      </c>
    </row>
    <row r="93" spans="1:18" ht="15" customHeight="1" x14ac:dyDescent="0.25">
      <c r="A93" s="319" t="s">
        <v>371</v>
      </c>
      <c r="B93" s="346"/>
      <c r="C93" s="346"/>
      <c r="D93" s="312"/>
      <c r="E93" s="294"/>
      <c r="F93" s="294"/>
      <c r="G93" s="294"/>
      <c r="H93" s="294"/>
      <c r="I93" s="294"/>
      <c r="J93" s="294"/>
      <c r="K93" s="294"/>
      <c r="L93" s="294"/>
      <c r="M93" s="294"/>
      <c r="N93" s="294"/>
      <c r="O93" s="294"/>
      <c r="P93" s="294"/>
      <c r="Q93" s="294"/>
      <c r="R93" s="295"/>
    </row>
    <row r="94" spans="1:18" ht="15" customHeight="1" x14ac:dyDescent="0.25">
      <c r="A94" s="319" t="s">
        <v>96</v>
      </c>
      <c r="B94" s="346"/>
      <c r="C94" s="346"/>
      <c r="D94" s="312"/>
      <c r="E94" s="294"/>
      <c r="F94" s="294"/>
      <c r="G94" s="294"/>
      <c r="H94" s="294"/>
      <c r="I94" s="294"/>
      <c r="J94" s="294"/>
      <c r="K94" s="294"/>
      <c r="L94" s="294"/>
      <c r="M94" s="294"/>
      <c r="N94" s="294"/>
      <c r="O94" s="294"/>
      <c r="P94" s="294"/>
      <c r="Q94" s="294"/>
      <c r="R94" s="295"/>
    </row>
    <row r="95" spans="1:18" ht="15" customHeight="1" x14ac:dyDescent="0.25">
      <c r="A95" s="319" t="s">
        <v>370</v>
      </c>
      <c r="B95" s="346"/>
      <c r="C95" s="346"/>
      <c r="D95" s="312"/>
      <c r="E95" s="294"/>
      <c r="F95" s="294"/>
      <c r="G95" s="294"/>
      <c r="H95" s="294"/>
      <c r="I95" s="294"/>
      <c r="J95" s="294"/>
      <c r="K95" s="294"/>
      <c r="L95" s="294"/>
      <c r="M95" s="294"/>
      <c r="N95" s="294"/>
      <c r="O95" s="294"/>
      <c r="P95" s="294"/>
      <c r="Q95" s="294"/>
      <c r="R95" s="295"/>
    </row>
    <row r="96" spans="1:18" ht="15" customHeight="1" x14ac:dyDescent="0.25">
      <c r="A96" s="319" t="s">
        <v>376</v>
      </c>
      <c r="B96" s="346"/>
      <c r="C96" s="346"/>
      <c r="D96" s="312"/>
      <c r="E96" s="294"/>
      <c r="F96" s="294"/>
      <c r="G96" s="294"/>
      <c r="H96" s="294"/>
      <c r="I96" s="294"/>
      <c r="J96" s="294"/>
      <c r="K96" s="294"/>
      <c r="L96" s="294"/>
      <c r="M96" s="294"/>
      <c r="N96" s="294"/>
      <c r="O96" s="294"/>
      <c r="P96" s="294"/>
      <c r="Q96" s="294"/>
      <c r="R96" s="295"/>
    </row>
    <row r="97" spans="1:18" ht="15" customHeight="1" x14ac:dyDescent="0.25">
      <c r="A97" s="319" t="s">
        <v>359</v>
      </c>
      <c r="B97" s="341"/>
      <c r="C97" s="341"/>
      <c r="D97" s="313"/>
      <c r="E97" s="296"/>
      <c r="F97" s="296"/>
      <c r="G97" s="296"/>
      <c r="H97" s="296"/>
      <c r="I97" s="296"/>
      <c r="J97" s="296"/>
      <c r="K97" s="296"/>
      <c r="L97" s="296"/>
      <c r="M97" s="296"/>
      <c r="N97" s="296"/>
      <c r="O97" s="296"/>
      <c r="P97" s="296"/>
      <c r="Q97" s="296"/>
      <c r="R97" s="297"/>
    </row>
    <row r="98" spans="1:18" ht="15" customHeight="1" x14ac:dyDescent="0.25">
      <c r="A98" s="349" t="s">
        <v>379</v>
      </c>
      <c r="B98" s="347" t="s">
        <v>309</v>
      </c>
      <c r="C98" s="347">
        <v>180</v>
      </c>
      <c r="D98" s="314">
        <v>29230.572234792053</v>
      </c>
      <c r="E98" s="298">
        <v>29722.598998281996</v>
      </c>
      <c r="F98" s="298">
        <v>30222.907855397949</v>
      </c>
      <c r="G98" s="298">
        <v>30731.638215375187</v>
      </c>
      <c r="H98" s="298">
        <v>31248.931834069976</v>
      </c>
      <c r="I98" s="298">
        <v>31774.932853459348</v>
      </c>
      <c r="J98" s="298">
        <v>32309.787841805733</v>
      </c>
      <c r="K98" s="298">
        <v>32853.645834497664</v>
      </c>
      <c r="L98" s="298">
        <v>33406.658375577943</v>
      </c>
      <c r="M98" s="298">
        <v>33968.979559970823</v>
      </c>
      <c r="N98" s="298">
        <v>34540.766076420026</v>
      </c>
      <c r="O98" s="298">
        <v>35122.177251149464</v>
      </c>
      <c r="P98" s="298">
        <v>35713.375092258932</v>
      </c>
      <c r="Q98" s="298">
        <v>36314.524334867034</v>
      </c>
      <c r="R98" s="326">
        <v>36925.792487014056</v>
      </c>
    </row>
    <row r="99" spans="1:18" s="230" customFormat="1" ht="15" customHeight="1" x14ac:dyDescent="0.25">
      <c r="A99" s="369" t="s">
        <v>405</v>
      </c>
      <c r="B99" s="343" t="s">
        <v>309</v>
      </c>
      <c r="C99" s="343">
        <v>200</v>
      </c>
      <c r="D99" s="306">
        <f>20.3*7.5*C99</f>
        <v>30450</v>
      </c>
      <c r="E99" s="280">
        <f>20.64*7.5*C99</f>
        <v>30960.000000000004</v>
      </c>
      <c r="F99" s="280">
        <f>20.99*7.5*C99</f>
        <v>31484.999999999996</v>
      </c>
      <c r="G99" s="280">
        <f>21.34*7.5*C99</f>
        <v>32010.000000000004</v>
      </c>
      <c r="H99" s="280">
        <f>21.7*7.5*C99</f>
        <v>32550</v>
      </c>
      <c r="I99" s="280">
        <f>22.07*7.5*C99</f>
        <v>33105</v>
      </c>
      <c r="J99" s="280">
        <f>22.44*7.5*C99</f>
        <v>33660</v>
      </c>
      <c r="K99" s="280">
        <f>22.82*7.5*C99</f>
        <v>34230</v>
      </c>
      <c r="L99" s="280">
        <f>23.2*7.5*C99</f>
        <v>34800</v>
      </c>
      <c r="M99" s="280">
        <f>23.59*7.5*C99</f>
        <v>35385</v>
      </c>
      <c r="N99" s="280">
        <f>23.99*7.5*C99</f>
        <v>35985</v>
      </c>
      <c r="O99" s="280">
        <f>24.39*7.5*C99</f>
        <v>36585</v>
      </c>
      <c r="P99" s="280">
        <f>24.8*7.5*C99</f>
        <v>37200</v>
      </c>
      <c r="Q99" s="280">
        <f>25.22*7.5*C99</f>
        <v>37829.999999999993</v>
      </c>
      <c r="R99" s="281">
        <f>25.64*7.5*C99</f>
        <v>38460</v>
      </c>
    </row>
    <row r="100" spans="1:18" s="230" customFormat="1" ht="15" customHeight="1" x14ac:dyDescent="0.25">
      <c r="A100" s="152" t="s">
        <v>360</v>
      </c>
      <c r="B100" s="344"/>
      <c r="C100" s="344"/>
      <c r="D100" s="307"/>
      <c r="E100" s="284"/>
      <c r="F100" s="284"/>
      <c r="G100" s="284"/>
      <c r="H100" s="284"/>
      <c r="I100" s="284"/>
      <c r="J100" s="284"/>
      <c r="K100" s="284"/>
      <c r="L100" s="284"/>
      <c r="M100" s="284"/>
      <c r="N100" s="284"/>
      <c r="O100" s="284"/>
      <c r="P100" s="284"/>
      <c r="Q100" s="284"/>
      <c r="R100" s="285"/>
    </row>
    <row r="101" spans="1:18" ht="15" customHeight="1" x14ac:dyDescent="0.25">
      <c r="A101" s="151" t="s">
        <v>399</v>
      </c>
      <c r="B101" s="257" t="s">
        <v>309</v>
      </c>
      <c r="C101" s="257">
        <v>250</v>
      </c>
      <c r="D101" s="308">
        <v>38060.640930718815</v>
      </c>
      <c r="E101" s="286">
        <v>38701.300779013014</v>
      </c>
      <c r="F101" s="286">
        <v>39352.744603382751</v>
      </c>
      <c r="G101" s="286">
        <v>40015.153926269777</v>
      </c>
      <c r="H101" s="286">
        <v>40688.713325611949</v>
      </c>
      <c r="I101" s="286">
        <v>41373.610486275189</v>
      </c>
      <c r="J101" s="286">
        <v>42070.036252351216</v>
      </c>
      <c r="K101" s="286">
        <v>42778.1846803355</v>
      </c>
      <c r="L101" s="286">
        <v>43498.253093200445</v>
      </c>
      <c r="M101" s="286">
        <v>44230.442135378675</v>
      </c>
      <c r="N101" s="286">
        <v>44974.955828671904</v>
      </c>
      <c r="O101" s="286">
        <v>45732.001629100865</v>
      </c>
      <c r="P101" s="286">
        <v>46501.790484712146</v>
      </c>
      <c r="Q101" s="286">
        <v>47284.536894358112</v>
      </c>
      <c r="R101" s="287">
        <v>48080.45896746622</v>
      </c>
    </row>
    <row r="102" spans="1:18" ht="15" customHeight="1" x14ac:dyDescent="0.25">
      <c r="A102" s="168" t="s">
        <v>373</v>
      </c>
      <c r="B102" s="210"/>
      <c r="C102" s="210"/>
      <c r="D102" s="309"/>
      <c r="E102" s="288"/>
      <c r="F102" s="288"/>
      <c r="G102" s="288"/>
      <c r="H102" s="288"/>
      <c r="I102" s="288"/>
      <c r="J102" s="288"/>
      <c r="K102" s="288"/>
      <c r="L102" s="288"/>
      <c r="M102" s="288"/>
      <c r="N102" s="288"/>
      <c r="O102" s="288"/>
      <c r="P102" s="288"/>
      <c r="Q102" s="288"/>
      <c r="R102" s="289"/>
    </row>
    <row r="103" spans="1:18" ht="15" customHeight="1" x14ac:dyDescent="0.25">
      <c r="A103" s="335" t="s">
        <v>404</v>
      </c>
      <c r="B103" s="342" t="s">
        <v>310</v>
      </c>
      <c r="C103" s="342">
        <v>220</v>
      </c>
      <c r="D103" s="304">
        <f>21.52*7.5*220</f>
        <v>35508</v>
      </c>
      <c r="E103" s="304">
        <f>21.88*7.5*220</f>
        <v>36102</v>
      </c>
      <c r="F103" s="304">
        <f>22.25*7.5*220</f>
        <v>36712.5</v>
      </c>
      <c r="G103" s="304">
        <f>22.62*7.5*220</f>
        <v>37323</v>
      </c>
      <c r="H103" s="304">
        <f>23*7.5*220</f>
        <v>37950</v>
      </c>
      <c r="I103" s="304">
        <f>23.39*7.5*220</f>
        <v>38593.5</v>
      </c>
      <c r="J103" s="304">
        <f>23.78*7.5*220</f>
        <v>39237.000000000007</v>
      </c>
      <c r="K103" s="304">
        <f>24.18*7.5*220</f>
        <v>39897</v>
      </c>
      <c r="L103" s="304">
        <f>24.59*7.5*220</f>
        <v>40573.5</v>
      </c>
      <c r="M103" s="304">
        <f>25*7.5*220</f>
        <v>41250</v>
      </c>
      <c r="N103" s="304">
        <f>25.43*7.5*220</f>
        <v>41959.5</v>
      </c>
      <c r="O103" s="304">
        <f>25.85*7.5*220</f>
        <v>42652.5</v>
      </c>
      <c r="P103" s="304">
        <f>26.29*7.5*220</f>
        <v>43378.499999999993</v>
      </c>
      <c r="Q103" s="304">
        <f>26.73*7.5*220</f>
        <v>44104.5</v>
      </c>
      <c r="R103" s="356">
        <f>27.18*7.5*220</f>
        <v>44847</v>
      </c>
    </row>
    <row r="104" spans="1:18" ht="15" customHeight="1" x14ac:dyDescent="0.25">
      <c r="A104" s="335" t="s">
        <v>358</v>
      </c>
      <c r="B104" s="214" t="s">
        <v>310</v>
      </c>
      <c r="C104" s="214">
        <v>250</v>
      </c>
      <c r="D104" s="299">
        <f>21.52*7.5*250</f>
        <v>40350</v>
      </c>
      <c r="E104" s="299">
        <f>21.88*7.5*250</f>
        <v>41025</v>
      </c>
      <c r="F104" s="299">
        <f>22.25*7.5*250</f>
        <v>41718.75</v>
      </c>
      <c r="G104" s="299">
        <f>22.62*7.5*250</f>
        <v>42412.5</v>
      </c>
      <c r="H104" s="299">
        <f>23*7.5*250</f>
        <v>43125</v>
      </c>
      <c r="I104" s="299">
        <f>23.39*7.5*250</f>
        <v>43856.25</v>
      </c>
      <c r="J104" s="299">
        <f>23.78*7.5*250</f>
        <v>44587.500000000007</v>
      </c>
      <c r="K104" s="299">
        <f>24.18*7.5*250</f>
        <v>45337.5</v>
      </c>
      <c r="L104" s="299">
        <f>24.59*7.5*250</f>
        <v>46106.25</v>
      </c>
      <c r="M104" s="299">
        <f>25*7.5*250</f>
        <v>46875</v>
      </c>
      <c r="N104" s="299">
        <f>25.43*7.5*250</f>
        <v>47681.25</v>
      </c>
      <c r="O104" s="299">
        <f>25.85*7.5*250</f>
        <v>48468.75</v>
      </c>
      <c r="P104" s="299">
        <f>26.29*7.5*250</f>
        <v>49293.749999999993</v>
      </c>
      <c r="Q104" s="299">
        <f>26.73*7.5*250</f>
        <v>50118.75</v>
      </c>
      <c r="R104" s="323">
        <f>27.18*7.5*250</f>
        <v>50962.5</v>
      </c>
    </row>
    <row r="105" spans="1:18" ht="15" customHeight="1" x14ac:dyDescent="0.25">
      <c r="A105" s="338" t="s">
        <v>141</v>
      </c>
      <c r="B105" s="225"/>
      <c r="C105" s="225"/>
      <c r="D105" s="300"/>
      <c r="E105" s="300"/>
      <c r="F105" s="300"/>
      <c r="G105" s="300"/>
      <c r="H105" s="300"/>
      <c r="I105" s="300"/>
      <c r="J105" s="300"/>
      <c r="K105" s="300"/>
      <c r="L105" s="300"/>
      <c r="M105" s="300"/>
      <c r="N105" s="300"/>
      <c r="O105" s="300"/>
      <c r="P105" s="300"/>
      <c r="Q105" s="300"/>
      <c r="R105" s="324"/>
    </row>
    <row r="106" spans="1:18" ht="15" customHeight="1" x14ac:dyDescent="0.25">
      <c r="A106" s="321" t="s">
        <v>380</v>
      </c>
      <c r="B106" s="214" t="s">
        <v>310</v>
      </c>
      <c r="C106" s="214">
        <v>250</v>
      </c>
      <c r="D106" s="299">
        <v>43033.898012332742</v>
      </c>
      <c r="E106" s="299">
        <v>43758.27074747072</v>
      </c>
      <c r="F106" s="299">
        <v>44494.836564891426</v>
      </c>
      <c r="G106" s="299">
        <v>45243.800705969021</v>
      </c>
      <c r="H106" s="299">
        <v>46005.371866825233</v>
      </c>
      <c r="I106" s="299">
        <v>46779.762256481816</v>
      </c>
      <c r="J106" s="299">
        <v>47567.187655991773</v>
      </c>
      <c r="K106" s="299">
        <v>48367.867478566004</v>
      </c>
      <c r="L106" s="299">
        <v>49182.024830711962</v>
      </c>
      <c r="M106" s="299">
        <v>50009.886574401477</v>
      </c>
      <c r="N106" s="299">
        <v>50851.683390285027</v>
      </c>
      <c r="O106" s="299">
        <v>51707.649841970037</v>
      </c>
      <c r="P106" s="299">
        <v>52578.024441381189</v>
      </c>
      <c r="Q106" s="299">
        <v>53463.049715220892</v>
      </c>
      <c r="R106" s="323">
        <v>54362.972272548453</v>
      </c>
    </row>
    <row r="107" spans="1:18" ht="15" customHeight="1" x14ac:dyDescent="0.25">
      <c r="A107" s="151" t="s">
        <v>135</v>
      </c>
      <c r="B107" s="257" t="s">
        <v>311</v>
      </c>
      <c r="C107" s="257">
        <v>250</v>
      </c>
      <c r="D107" s="308">
        <v>42764.93614975566</v>
      </c>
      <c r="E107" s="286">
        <v>43440.20112759545</v>
      </c>
      <c r="F107" s="286">
        <v>44126.128644219352</v>
      </c>
      <c r="G107" s="286">
        <v>44822.887062769332</v>
      </c>
      <c r="H107" s="286">
        <v>45530.647404867479</v>
      </c>
      <c r="I107" s="286">
        <v>46249.583392593828</v>
      </c>
      <c r="J107" s="286">
        <v>46979.871491127051</v>
      </c>
      <c r="K107" s="286">
        <v>47721.690952058321</v>
      </c>
      <c r="L107" s="286">
        <v>48475.223857389297</v>
      </c>
      <c r="M107" s="286">
        <v>49240.65516422467</v>
      </c>
      <c r="N107" s="286">
        <v>50018.172750170532</v>
      </c>
      <c r="O107" s="286">
        <v>50807.967459449515</v>
      </c>
      <c r="P107" s="286">
        <v>51610.233149744163</v>
      </c>
      <c r="Q107" s="286">
        <v>52425.166739779874</v>
      </c>
      <c r="R107" s="287">
        <v>53252.968257659304</v>
      </c>
    </row>
    <row r="108" spans="1:18" ht="15" customHeight="1" x14ac:dyDescent="0.25">
      <c r="A108" s="152" t="s">
        <v>143</v>
      </c>
      <c r="B108" s="194"/>
      <c r="C108" s="194"/>
      <c r="D108" s="310"/>
      <c r="E108" s="290"/>
      <c r="F108" s="290"/>
      <c r="G108" s="290"/>
      <c r="H108" s="290"/>
      <c r="I108" s="290"/>
      <c r="J108" s="290"/>
      <c r="K108" s="290"/>
      <c r="L108" s="290"/>
      <c r="M108" s="290"/>
      <c r="N108" s="290"/>
      <c r="O108" s="290"/>
      <c r="P108" s="290"/>
      <c r="Q108" s="290"/>
      <c r="R108" s="291"/>
    </row>
    <row r="109" spans="1:18" ht="15" customHeight="1" x14ac:dyDescent="0.25">
      <c r="A109" s="246" t="s">
        <v>374</v>
      </c>
      <c r="B109" s="214" t="s">
        <v>312</v>
      </c>
      <c r="C109" s="214">
        <v>250</v>
      </c>
      <c r="D109" s="299">
        <v>45330.832318741006</v>
      </c>
      <c r="E109" s="273">
        <v>46046.613195251171</v>
      </c>
      <c r="F109" s="273">
        <v>46773.696362872506</v>
      </c>
      <c r="G109" s="273">
        <v>47512.260286535471</v>
      </c>
      <c r="H109" s="273">
        <v>48262.48624915949</v>
      </c>
      <c r="I109" s="273">
        <v>49024.558396149419</v>
      </c>
      <c r="J109" s="273">
        <v>49798.663780594616</v>
      </c>
      <c r="K109" s="273">
        <v>50584.992409181752</v>
      </c>
      <c r="L109" s="273">
        <v>51383.73728883257</v>
      </c>
      <c r="M109" s="273">
        <v>52195.094474078054</v>
      </c>
      <c r="N109" s="273">
        <v>53019.263115180656</v>
      </c>
      <c r="O109" s="273">
        <v>53856.44550701636</v>
      </c>
      <c r="P109" s="273">
        <v>54706.84713872867</v>
      </c>
      <c r="Q109" s="273">
        <v>55570.676744166507</v>
      </c>
      <c r="R109" s="274">
        <v>56448.146353118689</v>
      </c>
    </row>
    <row r="110" spans="1:18" ht="15" customHeight="1" x14ac:dyDescent="0.25">
      <c r="A110" s="340" t="s">
        <v>151</v>
      </c>
      <c r="B110" s="225"/>
      <c r="C110" s="225"/>
      <c r="D110" s="300"/>
      <c r="E110" s="302"/>
      <c r="F110" s="302"/>
      <c r="G110" s="302"/>
      <c r="H110" s="302"/>
      <c r="I110" s="302"/>
      <c r="J110" s="302"/>
      <c r="K110" s="302"/>
      <c r="L110" s="302"/>
      <c r="M110" s="302"/>
      <c r="N110" s="302"/>
      <c r="O110" s="302"/>
      <c r="P110" s="302"/>
      <c r="Q110" s="302"/>
      <c r="R110" s="327"/>
    </row>
    <row r="111" spans="1:18" ht="15" customHeight="1" x14ac:dyDescent="0.25">
      <c r="A111" s="247" t="s">
        <v>162</v>
      </c>
      <c r="B111" s="206"/>
      <c r="C111" s="206"/>
      <c r="D111" s="301"/>
      <c r="E111" s="275"/>
      <c r="F111" s="275"/>
      <c r="G111" s="275"/>
      <c r="H111" s="275"/>
      <c r="I111" s="275"/>
      <c r="J111" s="275"/>
      <c r="K111" s="275"/>
      <c r="L111" s="275"/>
      <c r="M111" s="275"/>
      <c r="N111" s="275"/>
      <c r="O111" s="275"/>
      <c r="P111" s="275"/>
      <c r="Q111" s="275"/>
      <c r="R111" s="276"/>
    </row>
    <row r="112" spans="1:18" ht="15" customHeight="1" x14ac:dyDescent="0.25">
      <c r="A112" s="148" t="s">
        <v>352</v>
      </c>
      <c r="B112" s="202" t="s">
        <v>313</v>
      </c>
      <c r="C112" s="202">
        <v>200</v>
      </c>
      <c r="D112" s="305">
        <v>38440.545806292372</v>
      </c>
      <c r="E112" s="272">
        <v>39006.226241837525</v>
      </c>
      <c r="F112" s="272">
        <v>39580.231074147778</v>
      </c>
      <c r="G112" s="272">
        <v>40162.682802742558</v>
      </c>
      <c r="H112" s="272">
        <v>40753.705729810317</v>
      </c>
      <c r="I112" s="272">
        <v>41353.425986736125</v>
      </c>
      <c r="J112" s="272">
        <v>41961.971561019622</v>
      </c>
      <c r="K112" s="272">
        <v>42579.472323589063</v>
      </c>
      <c r="L112" s="272">
        <v>43206.060056517352</v>
      </c>
      <c r="M112" s="272">
        <v>43841.86848114591</v>
      </c>
      <c r="N112" s="272">
        <v>44487.033286622434</v>
      </c>
      <c r="O112" s="272">
        <v>45141.692158858554</v>
      </c>
      <c r="P112" s="272">
        <v>45805.98480991368</v>
      </c>
      <c r="Q112" s="272">
        <v>46480.053007811257</v>
      </c>
      <c r="R112" s="325">
        <v>47164.0406067937</v>
      </c>
    </row>
    <row r="113" spans="1:18" ht="15" customHeight="1" x14ac:dyDescent="0.25">
      <c r="A113" s="321" t="s">
        <v>351</v>
      </c>
      <c r="B113" s="198" t="s">
        <v>314</v>
      </c>
      <c r="C113" s="198">
        <v>250</v>
      </c>
      <c r="D113" s="315">
        <v>50933.723193337391</v>
      </c>
      <c r="E113" s="303">
        <v>51683.249770434719</v>
      </c>
      <c r="F113" s="303">
        <v>52443.806173245808</v>
      </c>
      <c r="G113" s="303">
        <v>53215.554713633894</v>
      </c>
      <c r="H113" s="303">
        <v>53998.660091998681</v>
      </c>
      <c r="I113" s="303">
        <v>54793.289432425372</v>
      </c>
      <c r="J113" s="303">
        <v>55599.612318350999</v>
      </c>
      <c r="K113" s="303">
        <v>56417.800828755506</v>
      </c>
      <c r="L113" s="303">
        <v>57248.029574885484</v>
      </c>
      <c r="M113" s="303">
        <v>58090.475737518333</v>
      </c>
      <c r="N113" s="303">
        <v>58945.319104774724</v>
      </c>
      <c r="O113" s="303">
        <v>59812.742110487583</v>
      </c>
      <c r="P113" s="303">
        <v>60692.929873135639</v>
      </c>
      <c r="Q113" s="303">
        <v>61586.070235349915</v>
      </c>
      <c r="R113" s="328">
        <v>62492.353804001657</v>
      </c>
    </row>
    <row r="114" spans="1:18" ht="15" customHeight="1" x14ac:dyDescent="0.25">
      <c r="A114" s="369" t="s">
        <v>406</v>
      </c>
      <c r="B114" s="257" t="s">
        <v>315</v>
      </c>
      <c r="C114" s="257">
        <v>250</v>
      </c>
      <c r="D114" s="308">
        <v>53989.746584937646</v>
      </c>
      <c r="E114" s="286">
        <v>54784.244756660803</v>
      </c>
      <c r="F114" s="286">
        <v>55590.434543640557</v>
      </c>
      <c r="G114" s="286">
        <v>56408.48799645192</v>
      </c>
      <c r="H114" s="286">
        <v>57238.579697518595</v>
      </c>
      <c r="I114" s="286">
        <v>58080.886798370899</v>
      </c>
      <c r="J114" s="286">
        <v>58935.58905745206</v>
      </c>
      <c r="K114" s="286">
        <v>59802.868878480833</v>
      </c>
      <c r="L114" s="286">
        <v>60682.911349378614</v>
      </c>
      <c r="M114" s="286">
        <v>61575.904281769414</v>
      </c>
      <c r="N114" s="286">
        <v>62482.038251061182</v>
      </c>
      <c r="O114" s="286">
        <v>63401.506637116821</v>
      </c>
      <c r="P114" s="286">
        <v>64334.505665523764</v>
      </c>
      <c r="Q114" s="286">
        <v>65281.234449470903</v>
      </c>
      <c r="R114" s="287">
        <v>66241.895032241751</v>
      </c>
    </row>
    <row r="115" spans="1:18" ht="15" customHeight="1" x14ac:dyDescent="0.25">
      <c r="A115" s="152" t="s">
        <v>350</v>
      </c>
      <c r="B115" s="194"/>
      <c r="C115" s="194"/>
      <c r="D115" s="310"/>
      <c r="E115" s="290"/>
      <c r="F115" s="290"/>
      <c r="G115" s="290"/>
      <c r="H115" s="290"/>
      <c r="I115" s="290"/>
      <c r="J115" s="290"/>
      <c r="K115" s="290"/>
      <c r="L115" s="290"/>
      <c r="M115" s="290"/>
      <c r="N115" s="290"/>
      <c r="O115" s="290"/>
      <c r="P115" s="290"/>
      <c r="Q115" s="290"/>
      <c r="R115" s="291"/>
    </row>
    <row r="116" spans="1:18" ht="15" customHeight="1" thickBot="1" x14ac:dyDescent="0.3">
      <c r="A116" s="332" t="s">
        <v>372</v>
      </c>
      <c r="B116" s="348" t="s">
        <v>334</v>
      </c>
      <c r="C116" s="348">
        <v>210</v>
      </c>
      <c r="D116" s="329">
        <v>50956.818580782194</v>
      </c>
      <c r="E116" s="330">
        <v>51531.554088991092</v>
      </c>
      <c r="F116" s="330">
        <v>52112.771966264547</v>
      </c>
      <c r="G116" s="330">
        <v>52700.545326422885</v>
      </c>
      <c r="H116" s="330">
        <v>53294.948107927972</v>
      </c>
      <c r="I116" s="330">
        <v>53896.055083184248</v>
      </c>
      <c r="J116" s="330">
        <v>54503.94186794461</v>
      </c>
      <c r="K116" s="330">
        <v>55118.684930822477</v>
      </c>
      <c r="L116" s="330">
        <v>55740.361602911056</v>
      </c>
      <c r="M116" s="330">
        <v>56369.050087511205</v>
      </c>
      <c r="N116" s="330">
        <v>57004.8294699689</v>
      </c>
      <c r="O116" s="330">
        <v>57647.779727623718</v>
      </c>
      <c r="P116" s="330">
        <v>58297.981739869552</v>
      </c>
      <c r="Q116" s="330">
        <v>58955.517298328712</v>
      </c>
      <c r="R116" s="331">
        <v>59620.469117140892</v>
      </c>
    </row>
    <row r="117" spans="1:18" ht="28.5" customHeight="1" thickBot="1" x14ac:dyDescent="0.3">
      <c r="A117" s="143" t="s">
        <v>402</v>
      </c>
      <c r="B117" s="366" t="s">
        <v>357</v>
      </c>
      <c r="C117" s="367"/>
      <c r="D117" s="367"/>
      <c r="E117" s="367"/>
      <c r="F117" s="367"/>
      <c r="G117" s="367"/>
      <c r="H117" s="367"/>
      <c r="I117" s="367"/>
      <c r="J117" s="367"/>
      <c r="K117" s="367"/>
      <c r="L117" s="367"/>
      <c r="M117" s="367"/>
      <c r="N117" s="186"/>
      <c r="O117" s="186"/>
      <c r="P117" s="186"/>
      <c r="Q117" s="186"/>
      <c r="R117" s="187"/>
    </row>
    <row r="118" spans="1:18" ht="30.75" thickBot="1" x14ac:dyDescent="0.3">
      <c r="A118" s="339" t="s">
        <v>367</v>
      </c>
      <c r="B118" s="322" t="s">
        <v>0</v>
      </c>
      <c r="C118" s="333">
        <v>15</v>
      </c>
      <c r="D118" s="322">
        <v>16</v>
      </c>
      <c r="E118" s="322">
        <v>17</v>
      </c>
      <c r="F118" s="322">
        <v>18</v>
      </c>
      <c r="G118" s="322">
        <v>19</v>
      </c>
      <c r="H118" s="322">
        <v>20</v>
      </c>
      <c r="I118" s="322">
        <v>21</v>
      </c>
      <c r="J118" s="322">
        <v>22</v>
      </c>
      <c r="K118" s="322">
        <v>23</v>
      </c>
      <c r="L118" s="322">
        <v>24</v>
      </c>
      <c r="M118" s="322">
        <v>25</v>
      </c>
      <c r="N118" s="322">
        <v>26</v>
      </c>
      <c r="O118" s="322">
        <v>27</v>
      </c>
      <c r="P118" s="322">
        <v>28</v>
      </c>
      <c r="Q118" s="322">
        <v>29</v>
      </c>
      <c r="R118" s="322" t="s">
        <v>355</v>
      </c>
    </row>
    <row r="119" spans="1:18" ht="15" customHeight="1" x14ac:dyDescent="0.25">
      <c r="A119" s="336" t="s">
        <v>385</v>
      </c>
      <c r="B119" s="352" t="s">
        <v>302</v>
      </c>
      <c r="C119" s="353">
        <v>17167.653341385972</v>
      </c>
      <c r="D119" s="354">
        <v>17456.629720036046</v>
      </c>
      <c r="E119" s="354">
        <v>17750.470324783721</v>
      </c>
      <c r="F119" s="354">
        <v>18049.257033240025</v>
      </c>
      <c r="G119" s="354">
        <v>18353.073101229722</v>
      </c>
      <c r="H119" s="354">
        <v>18662.003185990234</v>
      </c>
      <c r="I119" s="354">
        <v>18976.133369761072</v>
      </c>
      <c r="J119" s="354">
        <v>19295.551183770334</v>
      </c>
      <c r="K119" s="354">
        <v>19620.34563262498</v>
      </c>
      <c r="L119" s="354">
        <v>19950.607219111618</v>
      </c>
      <c r="M119" s="354">
        <v>20286.427969414784</v>
      </c>
      <c r="N119" s="354">
        <v>20627.901458759701</v>
      </c>
      <c r="O119" s="354">
        <v>20975.122837486688</v>
      </c>
      <c r="P119" s="354">
        <v>21328.188857564423</v>
      </c>
      <c r="Q119" s="354">
        <v>21687.197899549552</v>
      </c>
      <c r="R119" s="355">
        <v>22052.250000000073</v>
      </c>
    </row>
    <row r="120" spans="1:18" ht="15" customHeight="1" x14ac:dyDescent="0.25">
      <c r="A120" s="318" t="s">
        <v>14</v>
      </c>
      <c r="B120" s="342" t="s">
        <v>302</v>
      </c>
      <c r="C120" s="304">
        <v>26011.595971796927</v>
      </c>
      <c r="D120" s="270">
        <v>26449.438969751583</v>
      </c>
      <c r="E120" s="270">
        <v>26894.652007248063</v>
      </c>
      <c r="F120" s="270">
        <v>27347.359141272769</v>
      </c>
      <c r="G120" s="270">
        <v>27807.686517014728</v>
      </c>
      <c r="H120" s="270">
        <v>28275.762403015506</v>
      </c>
      <c r="I120" s="270">
        <v>28751.71722691071</v>
      </c>
      <c r="J120" s="270">
        <v>29235.683611773235</v>
      </c>
      <c r="K120" s="270">
        <v>29727.79641306815</v>
      </c>
      <c r="L120" s="270">
        <v>30228.192756229724</v>
      </c>
      <c r="M120" s="270">
        <v>30737.01207487088</v>
      </c>
      <c r="N120" s="270">
        <v>31254.396149635915</v>
      </c>
      <c r="O120" s="270">
        <v>31780.489147707107</v>
      </c>
      <c r="P120" s="270">
        <v>32315.437662976397</v>
      </c>
      <c r="Q120" s="270">
        <v>32859.390756893263</v>
      </c>
      <c r="R120" s="271">
        <v>33412.500000000109</v>
      </c>
    </row>
    <row r="121" spans="1:18" ht="15" customHeight="1" x14ac:dyDescent="0.25">
      <c r="A121" s="337" t="s">
        <v>384</v>
      </c>
      <c r="B121" s="342" t="s">
        <v>302</v>
      </c>
      <c r="C121" s="304">
        <v>34682.127962395905</v>
      </c>
      <c r="D121" s="270">
        <v>35265.91862633545</v>
      </c>
      <c r="E121" s="270">
        <v>35859.53600966408</v>
      </c>
      <c r="F121" s="270">
        <v>36463.145521697021</v>
      </c>
      <c r="G121" s="270">
        <v>37076.915356019643</v>
      </c>
      <c r="H121" s="270">
        <v>37701.016537354008</v>
      </c>
      <c r="I121" s="270">
        <v>38335.622969214288</v>
      </c>
      <c r="J121" s="270">
        <v>38980.91148236431</v>
      </c>
      <c r="K121" s="270">
        <v>39637.061884090872</v>
      </c>
      <c r="L121" s="270">
        <v>40304.257008306304</v>
      </c>
      <c r="M121" s="270">
        <v>40982.682766494516</v>
      </c>
      <c r="N121" s="270">
        <v>41672.528199514549</v>
      </c>
      <c r="O121" s="270">
        <v>42373.985530276135</v>
      </c>
      <c r="P121" s="270">
        <v>43087.250217301866</v>
      </c>
      <c r="Q121" s="270">
        <v>43812.521009191019</v>
      </c>
      <c r="R121" s="271">
        <v>44550.000000000146</v>
      </c>
    </row>
    <row r="122" spans="1:18" ht="15" customHeight="1" x14ac:dyDescent="0.25">
      <c r="A122" s="148" t="s">
        <v>375</v>
      </c>
      <c r="B122" s="202" t="s">
        <v>303</v>
      </c>
      <c r="C122" s="305">
        <v>27572.291730104655</v>
      </c>
      <c r="D122" s="272">
        <v>28036.405307936588</v>
      </c>
      <c r="E122" s="272">
        <v>28508.331127682839</v>
      </c>
      <c r="F122" s="272">
        <v>28988.200689749014</v>
      </c>
      <c r="G122" s="272">
        <v>29476.147708035493</v>
      </c>
      <c r="H122" s="272">
        <v>29972.308147196305</v>
      </c>
      <c r="I122" s="272">
        <v>30476.820260525215</v>
      </c>
      <c r="J122" s="272">
        <v>30989.824628479488</v>
      </c>
      <c r="K122" s="272">
        <v>31511.464197852089</v>
      </c>
      <c r="L122" s="272">
        <v>32041.884321603349</v>
      </c>
      <c r="M122" s="272">
        <v>32581.232799362973</v>
      </c>
      <c r="N122" s="272">
        <v>33129.659918613892</v>
      </c>
      <c r="O122" s="272">
        <v>33687.318496569336</v>
      </c>
      <c r="P122" s="272">
        <v>34254.363922754783</v>
      </c>
      <c r="Q122" s="272">
        <v>34830.954202306653</v>
      </c>
      <c r="R122" s="325">
        <v>35417.249999999898</v>
      </c>
    </row>
    <row r="123" spans="1:18" ht="15" customHeight="1" x14ac:dyDescent="0.25">
      <c r="A123" s="335" t="s">
        <v>159</v>
      </c>
      <c r="B123" s="345" t="s">
        <v>304</v>
      </c>
      <c r="C123" s="311">
        <v>36533.286542388654</v>
      </c>
      <c r="D123" s="292">
        <v>37148.237033015954</v>
      </c>
      <c r="E123" s="292">
        <v>37773.538744179743</v>
      </c>
      <c r="F123" s="292">
        <v>38409.365913917434</v>
      </c>
      <c r="G123" s="292">
        <v>39055.895713147009</v>
      </c>
      <c r="H123" s="292">
        <v>39713.308295035087</v>
      </c>
      <c r="I123" s="292">
        <v>40381.786845195893</v>
      </c>
      <c r="J123" s="292">
        <v>41061.517632735289</v>
      </c>
      <c r="K123" s="292">
        <v>41752.69006215399</v>
      </c>
      <c r="L123" s="292">
        <v>42455.496726124409</v>
      </c>
      <c r="M123" s="292">
        <v>43170.133459155899</v>
      </c>
      <c r="N123" s="292">
        <v>43896.799392163375</v>
      </c>
      <c r="O123" s="292">
        <v>44635.697007954339</v>
      </c>
      <c r="P123" s="292">
        <v>45387.032197650049</v>
      </c>
      <c r="Q123" s="292">
        <v>46151.014318056274</v>
      </c>
      <c r="R123" s="293">
        <v>46927.85624999983</v>
      </c>
    </row>
    <row r="124" spans="1:18" ht="15" customHeight="1" x14ac:dyDescent="0.25">
      <c r="A124" s="148" t="s">
        <v>71</v>
      </c>
      <c r="B124" s="347" t="s">
        <v>305</v>
      </c>
      <c r="C124" s="314">
        <v>30980.226987945593</v>
      </c>
      <c r="D124" s="298">
        <v>31501.705003997551</v>
      </c>
      <c r="E124" s="298">
        <v>32031.960855064441</v>
      </c>
      <c r="F124" s="298">
        <v>32571.142295001999</v>
      </c>
      <c r="G124" s="298">
        <v>33119.399564748681</v>
      </c>
      <c r="H124" s="298">
        <v>33676.885434189768</v>
      </c>
      <c r="I124" s="298">
        <v>34243.755244726133</v>
      </c>
      <c r="J124" s="298">
        <v>34820.16695255955</v>
      </c>
      <c r="K124" s="298">
        <v>35406.281172706615</v>
      </c>
      <c r="L124" s="298">
        <v>36002.261223753521</v>
      </c>
      <c r="M124" s="298">
        <v>36608.273173364229</v>
      </c>
      <c r="N124" s="298">
        <v>37224.485884554568</v>
      </c>
      <c r="O124" s="298">
        <v>37851.071062745308</v>
      </c>
      <c r="P124" s="298">
        <v>38488.203303607275</v>
      </c>
      <c r="Q124" s="298">
        <v>39136.06014171175</v>
      </c>
      <c r="R124" s="326">
        <v>39794.822099999881</v>
      </c>
    </row>
    <row r="125" spans="1:18" ht="15" customHeight="1" x14ac:dyDescent="0.25">
      <c r="A125" s="350" t="s">
        <v>377</v>
      </c>
      <c r="B125" s="343" t="s">
        <v>305</v>
      </c>
      <c r="C125" s="306">
        <v>38725.283734931996</v>
      </c>
      <c r="D125" s="280">
        <v>39377.131254996937</v>
      </c>
      <c r="E125" s="280">
        <v>40039.951068830553</v>
      </c>
      <c r="F125" s="280">
        <v>40713.9278687525</v>
      </c>
      <c r="G125" s="280">
        <v>41399.249455935853</v>
      </c>
      <c r="H125" s="280">
        <v>42096.106792737213</v>
      </c>
      <c r="I125" s="280">
        <v>42804.694055907668</v>
      </c>
      <c r="J125" s="280">
        <v>43525.208690699437</v>
      </c>
      <c r="K125" s="280">
        <v>44257.851465883257</v>
      </c>
      <c r="L125" s="280">
        <v>45002.826529691898</v>
      </c>
      <c r="M125" s="280">
        <v>45760.341466705286</v>
      </c>
      <c r="N125" s="280">
        <v>46530.60735569321</v>
      </c>
      <c r="O125" s="280">
        <v>47313.838828431639</v>
      </c>
      <c r="P125" s="280">
        <v>48110.2541295091</v>
      </c>
      <c r="Q125" s="280">
        <v>48920.075177139683</v>
      </c>
      <c r="R125" s="281">
        <v>49743.527624999857</v>
      </c>
    </row>
    <row r="126" spans="1:18" ht="15" customHeight="1" x14ac:dyDescent="0.25">
      <c r="A126" s="351" t="s">
        <v>245</v>
      </c>
      <c r="B126" s="277"/>
      <c r="C126" s="278"/>
      <c r="D126" s="282"/>
      <c r="E126" s="282"/>
      <c r="F126" s="282"/>
      <c r="G126" s="282"/>
      <c r="H126" s="282"/>
      <c r="I126" s="282"/>
      <c r="J126" s="282"/>
      <c r="K126" s="282"/>
      <c r="L126" s="282"/>
      <c r="M126" s="282"/>
      <c r="N126" s="282"/>
      <c r="O126" s="282"/>
      <c r="P126" s="282"/>
      <c r="Q126" s="282"/>
      <c r="R126" s="283"/>
    </row>
    <row r="127" spans="1:18" ht="15" customHeight="1" x14ac:dyDescent="0.25">
      <c r="A127" s="351" t="s">
        <v>398</v>
      </c>
      <c r="B127" s="277"/>
      <c r="C127" s="278"/>
      <c r="D127" s="282"/>
      <c r="E127" s="282"/>
      <c r="F127" s="282"/>
      <c r="G127" s="282"/>
      <c r="H127" s="282"/>
      <c r="I127" s="282"/>
      <c r="J127" s="282"/>
      <c r="K127" s="282"/>
      <c r="L127" s="282"/>
      <c r="M127" s="282"/>
      <c r="N127" s="282"/>
      <c r="O127" s="282"/>
      <c r="P127" s="282"/>
      <c r="Q127" s="282"/>
      <c r="R127" s="283"/>
    </row>
    <row r="128" spans="1:18" ht="15" customHeight="1" x14ac:dyDescent="0.25">
      <c r="A128" s="151" t="s">
        <v>390</v>
      </c>
      <c r="B128" s="343" t="s">
        <v>305</v>
      </c>
      <c r="C128" s="306">
        <v>41306.969317260795</v>
      </c>
      <c r="D128" s="280">
        <v>42002.273338663399</v>
      </c>
      <c r="E128" s="280">
        <v>42709.281140085921</v>
      </c>
      <c r="F128" s="280">
        <v>43428.189726669334</v>
      </c>
      <c r="G128" s="280">
        <v>44159.19941966491</v>
      </c>
      <c r="H128" s="280">
        <v>44902.513912253031</v>
      </c>
      <c r="I128" s="280">
        <v>45658.340326301513</v>
      </c>
      <c r="J128" s="280">
        <v>46426.889270079402</v>
      </c>
      <c r="K128" s="280">
        <v>47208.374896942143</v>
      </c>
      <c r="L128" s="280">
        <v>48003.014965004695</v>
      </c>
      <c r="M128" s="280">
        <v>48811.030897818971</v>
      </c>
      <c r="N128" s="280">
        <v>49632.647846072759</v>
      </c>
      <c r="O128" s="280">
        <v>50468.09475032708</v>
      </c>
      <c r="P128" s="280">
        <v>51317.604404809703</v>
      </c>
      <c r="Q128" s="280">
        <v>52181.413522282332</v>
      </c>
      <c r="R128" s="281">
        <v>53059.762799999844</v>
      </c>
    </row>
    <row r="129" spans="1:18" ht="15" customHeight="1" x14ac:dyDescent="0.25">
      <c r="A129" s="152" t="s">
        <v>391</v>
      </c>
      <c r="B129" s="344"/>
      <c r="C129" s="307"/>
      <c r="D129" s="284"/>
      <c r="E129" s="284"/>
      <c r="F129" s="284"/>
      <c r="G129" s="284"/>
      <c r="H129" s="284"/>
      <c r="I129" s="284"/>
      <c r="J129" s="284"/>
      <c r="K129" s="284"/>
      <c r="L129" s="284"/>
      <c r="M129" s="284"/>
      <c r="N129" s="284"/>
      <c r="O129" s="284"/>
      <c r="P129" s="284"/>
      <c r="Q129" s="284"/>
      <c r="R129" s="285"/>
    </row>
    <row r="130" spans="1:18" ht="15" customHeight="1" x14ac:dyDescent="0.25">
      <c r="A130" s="335" t="s">
        <v>392</v>
      </c>
      <c r="B130" s="345" t="s">
        <v>306</v>
      </c>
      <c r="C130" s="311">
        <v>27584.794110066839</v>
      </c>
      <c r="D130" s="292">
        <v>28049.118135559511</v>
      </c>
      <c r="E130" s="292">
        <v>28521.257945349476</v>
      </c>
      <c r="F130" s="292">
        <v>29001.345099469887</v>
      </c>
      <c r="G130" s="292">
        <v>29489.513372452344</v>
      </c>
      <c r="H130" s="292">
        <v>29985.898790602696</v>
      </c>
      <c r="I130" s="292">
        <v>30490.639669904282</v>
      </c>
      <c r="J130" s="292">
        <v>31003.876654559164</v>
      </c>
      <c r="K130" s="292">
        <v>31525.752756178113</v>
      </c>
      <c r="L130" s="292">
        <v>32056.413393630293</v>
      </c>
      <c r="M130" s="292">
        <v>32596.006433563678</v>
      </c>
      <c r="N130" s="292">
        <v>33144.682231607563</v>
      </c>
      <c r="O130" s="292">
        <v>33702.59367426861</v>
      </c>
      <c r="P130" s="292">
        <v>34269.896221532108</v>
      </c>
      <c r="Q130" s="292">
        <v>34846.747950180346</v>
      </c>
      <c r="R130" s="293">
        <v>35433.309597840111</v>
      </c>
    </row>
    <row r="131" spans="1:18" ht="15" customHeight="1" x14ac:dyDescent="0.25">
      <c r="A131" s="334" t="s">
        <v>393</v>
      </c>
      <c r="B131" s="341"/>
      <c r="C131" s="313"/>
      <c r="D131" s="296"/>
      <c r="E131" s="296"/>
      <c r="F131" s="296"/>
      <c r="G131" s="296"/>
      <c r="H131" s="296"/>
      <c r="I131" s="296"/>
      <c r="J131" s="296"/>
      <c r="K131" s="296"/>
      <c r="L131" s="296"/>
      <c r="M131" s="296"/>
      <c r="N131" s="296"/>
      <c r="O131" s="296"/>
      <c r="P131" s="296"/>
      <c r="Q131" s="296"/>
      <c r="R131" s="297"/>
    </row>
    <row r="132" spans="1:18" ht="15" customHeight="1" x14ac:dyDescent="0.25">
      <c r="A132" s="335" t="s">
        <v>388</v>
      </c>
      <c r="B132" s="345" t="s">
        <v>306</v>
      </c>
      <c r="C132" s="311">
        <f>21.89*7.5*250</f>
        <v>41043.75</v>
      </c>
      <c r="D132" s="292">
        <f>22.26*7.5*250</f>
        <v>41737.500000000007</v>
      </c>
      <c r="E132" s="292">
        <f>22.64*7.5*250</f>
        <v>42450</v>
      </c>
      <c r="F132" s="292">
        <f>23.02*7.5*250</f>
        <v>43162.5</v>
      </c>
      <c r="G132" s="292">
        <f>23.4*7.5*250</f>
        <v>43875</v>
      </c>
      <c r="H132" s="292">
        <f>23.8*7.5*250</f>
        <v>44625</v>
      </c>
      <c r="I132" s="292">
        <f>24.2*7.5*250</f>
        <v>45375</v>
      </c>
      <c r="J132" s="292">
        <f>24.61*7.5*250</f>
        <v>46143.75</v>
      </c>
      <c r="K132" s="292">
        <f>25.02*7.5*250</f>
        <v>46912.5</v>
      </c>
      <c r="L132" s="292">
        <f>25.44*7.5*250</f>
        <v>47700</v>
      </c>
      <c r="M132" s="292">
        <f>25.87*7.5*250</f>
        <v>48506.25</v>
      </c>
      <c r="N132" s="292">
        <f>26.31*7.5*250</f>
        <v>49331.25</v>
      </c>
      <c r="O132" s="292">
        <f>26.75*7.5*250</f>
        <v>50156.25</v>
      </c>
      <c r="P132" s="292">
        <f>27.2*7.5*250</f>
        <v>51000</v>
      </c>
      <c r="Q132" s="292">
        <f>27.66*7.5*250</f>
        <v>51862.5</v>
      </c>
      <c r="R132" s="293">
        <f>28.12*7.5*250</f>
        <v>52725</v>
      </c>
    </row>
    <row r="133" spans="1:18" ht="15" customHeight="1" x14ac:dyDescent="0.25">
      <c r="A133" s="334" t="s">
        <v>386</v>
      </c>
      <c r="B133" s="341"/>
      <c r="C133" s="313"/>
      <c r="D133" s="296"/>
      <c r="E133" s="296"/>
      <c r="F133" s="296"/>
      <c r="G133" s="296"/>
      <c r="H133" s="296"/>
      <c r="I133" s="296"/>
      <c r="J133" s="296"/>
      <c r="K133" s="296"/>
      <c r="L133" s="296"/>
      <c r="M133" s="296"/>
      <c r="N133" s="296"/>
      <c r="O133" s="296"/>
      <c r="P133" s="296"/>
      <c r="Q133" s="296"/>
      <c r="R133" s="297"/>
    </row>
    <row r="134" spans="1:18" ht="15" customHeight="1" x14ac:dyDescent="0.25">
      <c r="A134" s="168" t="s">
        <v>128</v>
      </c>
      <c r="B134" s="210" t="s">
        <v>307</v>
      </c>
      <c r="C134" s="309">
        <v>43511.728804569597</v>
      </c>
      <c r="D134" s="288">
        <v>44244.144678114571</v>
      </c>
      <c r="E134" s="288">
        <v>44988.889020938019</v>
      </c>
      <c r="F134" s="288">
        <v>45746.169353330319</v>
      </c>
      <c r="G134" s="288">
        <v>46516.196688689539</v>
      </c>
      <c r="H134" s="288">
        <v>47299.185592319554</v>
      </c>
      <c r="I134" s="288">
        <v>48095.354241217879</v>
      </c>
      <c r="J134" s="288">
        <v>48904.924484869909</v>
      </c>
      <c r="K134" s="288">
        <v>49728.121907066459</v>
      </c>
      <c r="L134" s="288">
        <v>50565.175888761842</v>
      </c>
      <c r="M134" s="288">
        <v>51416.319671990088</v>
      </c>
      <c r="N134" s="288">
        <v>52281.79042485691</v>
      </c>
      <c r="O134" s="288">
        <v>53161.829307625805</v>
      </c>
      <c r="P134" s="288">
        <v>54056.681539916426</v>
      </c>
      <c r="Q134" s="288">
        <v>54966.596469034172</v>
      </c>
      <c r="R134" s="289">
        <v>55891.827639449853</v>
      </c>
    </row>
    <row r="135" spans="1:18" ht="15" customHeight="1" x14ac:dyDescent="0.25">
      <c r="A135" s="168" t="s">
        <v>397</v>
      </c>
      <c r="B135" s="210"/>
      <c r="C135" s="309"/>
      <c r="D135" s="288"/>
      <c r="E135" s="288"/>
      <c r="F135" s="288"/>
      <c r="G135" s="288"/>
      <c r="H135" s="288"/>
      <c r="I135" s="288"/>
      <c r="J135" s="288"/>
      <c r="K135" s="288"/>
      <c r="L135" s="288"/>
      <c r="M135" s="288"/>
      <c r="N135" s="288"/>
      <c r="O135" s="288"/>
      <c r="P135" s="288"/>
      <c r="Q135" s="288"/>
      <c r="R135" s="289"/>
    </row>
    <row r="136" spans="1:18" ht="15" customHeight="1" x14ac:dyDescent="0.25">
      <c r="A136" s="168" t="s">
        <v>369</v>
      </c>
      <c r="B136" s="210"/>
      <c r="C136" s="309"/>
      <c r="D136" s="288"/>
      <c r="E136" s="288"/>
      <c r="F136" s="288"/>
      <c r="G136" s="288"/>
      <c r="H136" s="288"/>
      <c r="I136" s="288"/>
      <c r="J136" s="288"/>
      <c r="K136" s="288"/>
      <c r="L136" s="288"/>
      <c r="M136" s="288"/>
      <c r="N136" s="288"/>
      <c r="O136" s="288"/>
      <c r="P136" s="288"/>
      <c r="Q136" s="288"/>
      <c r="R136" s="289"/>
    </row>
    <row r="137" spans="1:18" ht="15" customHeight="1" x14ac:dyDescent="0.25">
      <c r="A137" s="168" t="s">
        <v>387</v>
      </c>
      <c r="B137" s="210"/>
      <c r="C137" s="317"/>
      <c r="D137" s="309"/>
      <c r="E137" s="288"/>
      <c r="F137" s="288"/>
      <c r="G137" s="288"/>
      <c r="H137" s="288"/>
      <c r="I137" s="288"/>
      <c r="J137" s="288"/>
      <c r="K137" s="288"/>
      <c r="L137" s="288"/>
      <c r="M137" s="288"/>
      <c r="N137" s="288"/>
      <c r="O137" s="288"/>
      <c r="P137" s="288"/>
      <c r="Q137" s="288"/>
      <c r="R137" s="289"/>
    </row>
    <row r="138" spans="1:18" ht="15" customHeight="1" x14ac:dyDescent="0.25">
      <c r="A138" s="168" t="s">
        <v>368</v>
      </c>
      <c r="B138" s="210"/>
      <c r="C138" s="317"/>
      <c r="D138" s="309"/>
      <c r="E138" s="288"/>
      <c r="F138" s="288"/>
      <c r="G138" s="288"/>
      <c r="H138" s="288"/>
      <c r="I138" s="288"/>
      <c r="J138" s="288"/>
      <c r="K138" s="288"/>
      <c r="L138" s="288"/>
      <c r="M138" s="288"/>
      <c r="N138" s="288"/>
      <c r="O138" s="288"/>
      <c r="P138" s="288"/>
      <c r="Q138" s="288"/>
      <c r="R138" s="289"/>
    </row>
    <row r="139" spans="1:18" ht="15" customHeight="1" x14ac:dyDescent="0.25">
      <c r="A139" s="168" t="s">
        <v>359</v>
      </c>
      <c r="B139" s="210"/>
      <c r="C139" s="317"/>
      <c r="D139" s="309"/>
      <c r="E139" s="288"/>
      <c r="F139" s="288"/>
      <c r="G139" s="288"/>
      <c r="H139" s="288"/>
      <c r="I139" s="288"/>
      <c r="J139" s="288"/>
      <c r="K139" s="288"/>
      <c r="L139" s="288"/>
      <c r="M139" s="288"/>
      <c r="N139" s="288"/>
      <c r="O139" s="288"/>
      <c r="P139" s="288"/>
      <c r="Q139" s="288"/>
      <c r="R139" s="289"/>
    </row>
    <row r="140" spans="1:18" ht="15" customHeight="1" x14ac:dyDescent="0.25">
      <c r="A140" s="337" t="s">
        <v>394</v>
      </c>
      <c r="B140" s="342" t="s">
        <v>308</v>
      </c>
      <c r="C140" s="304">
        <v>30994.274662071115</v>
      </c>
      <c r="D140" s="270">
        <v>31515.989137114677</v>
      </c>
      <c r="E140" s="270">
        <v>32046.48542739468</v>
      </c>
      <c r="F140" s="270">
        <v>32585.911353764375</v>
      </c>
      <c r="G140" s="270">
        <v>33134.417225287471</v>
      </c>
      <c r="H140" s="270">
        <v>33692.155881121202</v>
      </c>
      <c r="I140" s="270">
        <v>34259.282733104468</v>
      </c>
      <c r="J140" s="270">
        <v>34835.955809062689</v>
      </c>
      <c r="K140" s="270">
        <v>35422.33579684174</v>
      </c>
      <c r="L140" s="270">
        <v>36018.586089083008</v>
      </c>
      <c r="M140" s="270">
        <v>36624.872828752166</v>
      </c>
      <c r="N140" s="270">
        <v>37241.36495543427</v>
      </c>
      <c r="O140" s="270">
        <v>37868.234252408227</v>
      </c>
      <c r="P140" s="270">
        <v>38505.655394513495</v>
      </c>
      <c r="Q140" s="270">
        <v>39153.805996822652</v>
      </c>
      <c r="R140" s="271">
        <v>39812.866664133166</v>
      </c>
    </row>
    <row r="141" spans="1:18" ht="15" customHeight="1" x14ac:dyDescent="0.25">
      <c r="A141" s="320" t="s">
        <v>400</v>
      </c>
      <c r="B141" s="346" t="s">
        <v>308</v>
      </c>
      <c r="C141" s="312">
        <v>46122.432532843915</v>
      </c>
      <c r="D141" s="312">
        <v>46898.793358801595</v>
      </c>
      <c r="E141" s="312">
        <v>47688.222362194465</v>
      </c>
      <c r="F141" s="312">
        <v>48490.939514530321</v>
      </c>
      <c r="G141" s="312">
        <v>49307.168490011114</v>
      </c>
      <c r="H141" s="312">
        <v>50137.136727858939</v>
      </c>
      <c r="I141" s="312">
        <v>50981.075495691177</v>
      </c>
      <c r="J141" s="312">
        <v>51839.219953962333</v>
      </c>
      <c r="K141" s="312">
        <v>52711.809221490686</v>
      </c>
      <c r="L141" s="312">
        <v>53599.086442087813</v>
      </c>
      <c r="M141" s="312">
        <v>54501.298852309767</v>
      </c>
      <c r="N141" s="312">
        <v>55418.697850348617</v>
      </c>
      <c r="O141" s="312">
        <v>56351.539066083664</v>
      </c>
      <c r="P141" s="312">
        <v>57300.082432311749</v>
      </c>
      <c r="Q141" s="312">
        <v>58264.59225717657</v>
      </c>
      <c r="R141" s="295">
        <v>59245.337297817205</v>
      </c>
    </row>
    <row r="142" spans="1:18" ht="15" customHeight="1" x14ac:dyDescent="0.25">
      <c r="A142" s="319" t="s">
        <v>371</v>
      </c>
      <c r="B142" s="346"/>
      <c r="C142" s="312"/>
      <c r="D142" s="312"/>
      <c r="E142" s="312"/>
      <c r="F142" s="312"/>
      <c r="G142" s="312"/>
      <c r="H142" s="312"/>
      <c r="I142" s="312"/>
      <c r="J142" s="312"/>
      <c r="K142" s="312"/>
      <c r="L142" s="312"/>
      <c r="M142" s="312"/>
      <c r="N142" s="312"/>
      <c r="O142" s="312"/>
      <c r="P142" s="312"/>
      <c r="Q142" s="312"/>
      <c r="R142" s="295"/>
    </row>
    <row r="143" spans="1:18" ht="15" customHeight="1" x14ac:dyDescent="0.25">
      <c r="A143" s="319" t="s">
        <v>96</v>
      </c>
      <c r="B143" s="346"/>
      <c r="C143" s="312"/>
      <c r="D143" s="312"/>
      <c r="E143" s="312"/>
      <c r="F143" s="312"/>
      <c r="G143" s="312"/>
      <c r="H143" s="312"/>
      <c r="I143" s="312"/>
      <c r="J143" s="312"/>
      <c r="K143" s="312"/>
      <c r="L143" s="312"/>
      <c r="M143" s="312"/>
      <c r="N143" s="312"/>
      <c r="O143" s="312"/>
      <c r="P143" s="312"/>
      <c r="Q143" s="312"/>
      <c r="R143" s="295"/>
    </row>
    <row r="144" spans="1:18" ht="15" customHeight="1" x14ac:dyDescent="0.25">
      <c r="A144" s="319" t="s">
        <v>370</v>
      </c>
      <c r="B144" s="346"/>
      <c r="C144" s="312"/>
      <c r="D144" s="312"/>
      <c r="E144" s="312"/>
      <c r="F144" s="312"/>
      <c r="G144" s="312"/>
      <c r="H144" s="312"/>
      <c r="I144" s="312"/>
      <c r="J144" s="312"/>
      <c r="K144" s="312"/>
      <c r="L144" s="312"/>
      <c r="M144" s="312"/>
      <c r="N144" s="312"/>
      <c r="O144" s="312"/>
      <c r="P144" s="312"/>
      <c r="Q144" s="312"/>
      <c r="R144" s="295"/>
    </row>
    <row r="145" spans="1:18" ht="15" customHeight="1" x14ac:dyDescent="0.25">
      <c r="A145" s="319" t="s">
        <v>376</v>
      </c>
      <c r="B145" s="346"/>
      <c r="C145" s="312"/>
      <c r="D145" s="312"/>
      <c r="E145" s="312"/>
      <c r="F145" s="312"/>
      <c r="G145" s="312"/>
      <c r="H145" s="312"/>
      <c r="I145" s="312"/>
      <c r="J145" s="312"/>
      <c r="K145" s="312"/>
      <c r="L145" s="312"/>
      <c r="M145" s="312"/>
      <c r="N145" s="312"/>
      <c r="O145" s="312"/>
      <c r="P145" s="312"/>
      <c r="Q145" s="312"/>
      <c r="R145" s="295"/>
    </row>
    <row r="146" spans="1:18" ht="15" customHeight="1" x14ac:dyDescent="0.25">
      <c r="A146" s="319" t="s">
        <v>359</v>
      </c>
      <c r="B146" s="346"/>
      <c r="C146" s="312"/>
      <c r="D146" s="312"/>
      <c r="E146" s="312"/>
      <c r="F146" s="312"/>
      <c r="G146" s="312"/>
      <c r="H146" s="312"/>
      <c r="I146" s="312"/>
      <c r="J146" s="312"/>
      <c r="K146" s="312"/>
      <c r="L146" s="312"/>
      <c r="M146" s="312"/>
      <c r="N146" s="312"/>
      <c r="O146" s="312"/>
      <c r="P146" s="312"/>
      <c r="Q146" s="312"/>
      <c r="R146" s="295"/>
    </row>
    <row r="147" spans="1:18" ht="15" customHeight="1" x14ac:dyDescent="0.25">
      <c r="A147" s="349" t="s">
        <v>395</v>
      </c>
      <c r="B147" s="347" t="s">
        <v>309</v>
      </c>
      <c r="C147" s="314">
        <v>37547.349876337474</v>
      </c>
      <c r="D147" s="298">
        <v>38179.369697533089</v>
      </c>
      <c r="E147" s="298">
        <v>38822.028060615143</v>
      </c>
      <c r="F147" s="298">
        <v>39475.504039988708</v>
      </c>
      <c r="G147" s="298">
        <v>40139.979724348093</v>
      </c>
      <c r="H147" s="298">
        <v>40815.640267415234</v>
      </c>
      <c r="I147" s="298">
        <v>41502.673939532091</v>
      </c>
      <c r="J147" s="298">
        <v>42201.272180121472</v>
      </c>
      <c r="K147" s="298">
        <v>42911.62965103094</v>
      </c>
      <c r="L147" s="298">
        <v>43633.944290774634</v>
      </c>
      <c r="M147" s="298">
        <v>44368.417369688112</v>
      </c>
      <c r="N147" s="298">
        <v>45115.253546011569</v>
      </c>
      <c r="O147" s="298">
        <v>45874.660922917144</v>
      </c>
      <c r="P147" s="298">
        <v>46646.851106496091</v>
      </c>
      <c r="Q147" s="298">
        <v>47432.039264722029</v>
      </c>
      <c r="R147" s="326">
        <v>48230.444187406749</v>
      </c>
    </row>
    <row r="148" spans="1:18" s="230" customFormat="1" ht="15" customHeight="1" x14ac:dyDescent="0.25">
      <c r="A148" s="357" t="s">
        <v>405</v>
      </c>
      <c r="B148" s="343" t="s">
        <v>309</v>
      </c>
      <c r="C148" s="306">
        <f>26.07*7.5*C99</f>
        <v>39105</v>
      </c>
      <c r="D148" s="280">
        <f>26.51*7.5*C99</f>
        <v>39765</v>
      </c>
      <c r="E148" s="280">
        <f>26.96*7.5*C99</f>
        <v>40440</v>
      </c>
      <c r="F148" s="280">
        <f>27.41*7.5*C99</f>
        <v>41115</v>
      </c>
      <c r="G148" s="280">
        <f>27.87*7.5*C99</f>
        <v>41805</v>
      </c>
      <c r="H148" s="280">
        <f>28.34*7.5*C99</f>
        <v>42510</v>
      </c>
      <c r="I148" s="280">
        <f>28.82*7.5*C99</f>
        <v>43230</v>
      </c>
      <c r="J148" s="280">
        <f>29.31*7.5*C99</f>
        <v>43965</v>
      </c>
      <c r="K148" s="280">
        <f>29.8*7.5*C99</f>
        <v>44700</v>
      </c>
      <c r="L148" s="280">
        <f>30.3*7.5*C99</f>
        <v>45450</v>
      </c>
      <c r="M148" s="280">
        <f>30.81*7.5*C99</f>
        <v>46215</v>
      </c>
      <c r="N148" s="280">
        <f>31.33*7.5*C99</f>
        <v>46995</v>
      </c>
      <c r="O148" s="280">
        <f>31.86*7.5*C99</f>
        <v>47790</v>
      </c>
      <c r="P148" s="280">
        <f>32.39*7.5*C99</f>
        <v>48585</v>
      </c>
      <c r="Q148" s="280">
        <f>32.94*7.5*C99</f>
        <v>49410</v>
      </c>
      <c r="R148" s="281">
        <f>33.49*7.5*C99</f>
        <v>50235</v>
      </c>
    </row>
    <row r="149" spans="1:18" s="230" customFormat="1" ht="15" customHeight="1" x14ac:dyDescent="0.25">
      <c r="A149" s="357" t="s">
        <v>360</v>
      </c>
      <c r="B149" s="344" t="s">
        <v>309</v>
      </c>
      <c r="C149" s="307"/>
      <c r="D149" s="307"/>
      <c r="E149" s="307"/>
      <c r="F149" s="307"/>
      <c r="G149" s="307"/>
      <c r="H149" s="307"/>
      <c r="I149" s="307"/>
      <c r="J149" s="307"/>
      <c r="K149" s="307"/>
      <c r="L149" s="307"/>
      <c r="M149" s="307"/>
      <c r="N149" s="307"/>
      <c r="O149" s="307"/>
      <c r="P149" s="307"/>
      <c r="Q149" s="307"/>
      <c r="R149" s="285"/>
    </row>
    <row r="150" spans="1:18" ht="15" customHeight="1" x14ac:dyDescent="0.25">
      <c r="A150" s="168" t="s">
        <v>399</v>
      </c>
      <c r="B150" s="277" t="s">
        <v>309</v>
      </c>
      <c r="C150" s="278">
        <v>48889.778484814422</v>
      </c>
      <c r="D150" s="278">
        <v>49712.720960329549</v>
      </c>
      <c r="E150" s="278">
        <v>50549.515703925972</v>
      </c>
      <c r="F150" s="278">
        <v>51400.395885401966</v>
      </c>
      <c r="G150" s="278">
        <v>52265.598599411584</v>
      </c>
      <c r="H150" s="278">
        <v>53145.364931530261</v>
      </c>
      <c r="I150" s="278">
        <v>54039.940025432414</v>
      </c>
      <c r="J150" s="278">
        <v>54949.573151199831</v>
      </c>
      <c r="K150" s="278">
        <v>55874.517774779866</v>
      </c>
      <c r="L150" s="278">
        <v>56815.031628612807</v>
      </c>
      <c r="M150" s="278">
        <v>57771.37678344806</v>
      </c>
      <c r="N150" s="278">
        <v>58743.819721369233</v>
      </c>
      <c r="O150" s="278">
        <v>59732.631410048358</v>
      </c>
      <c r="P150" s="278">
        <v>60738.087378250115</v>
      </c>
      <c r="Q150" s="278">
        <v>61760.467792606803</v>
      </c>
      <c r="R150" s="283">
        <v>62800.057535685875</v>
      </c>
    </row>
    <row r="151" spans="1:18" ht="15" customHeight="1" x14ac:dyDescent="0.25">
      <c r="A151" s="168" t="s">
        <v>373</v>
      </c>
      <c r="B151" s="277"/>
      <c r="C151" s="278"/>
      <c r="D151" s="278"/>
      <c r="E151" s="278"/>
      <c r="F151" s="278"/>
      <c r="G151" s="278"/>
      <c r="H151" s="278"/>
      <c r="I151" s="278"/>
      <c r="J151" s="278"/>
      <c r="K151" s="278"/>
      <c r="L151" s="278"/>
      <c r="M151" s="278"/>
      <c r="N151" s="278"/>
      <c r="O151" s="278"/>
      <c r="P151" s="278"/>
      <c r="Q151" s="278"/>
      <c r="R151" s="283"/>
    </row>
    <row r="152" spans="1:18" ht="15" customHeight="1" x14ac:dyDescent="0.25">
      <c r="A152" s="335" t="s">
        <v>404</v>
      </c>
      <c r="B152" s="342" t="s">
        <v>310</v>
      </c>
      <c r="C152" s="304">
        <f>27.64*7.5*220</f>
        <v>45606</v>
      </c>
      <c r="D152" s="304">
        <f>28.1*7.5*220</f>
        <v>46365</v>
      </c>
      <c r="E152" s="304">
        <f>28.58*7.5*220</f>
        <v>47157</v>
      </c>
      <c r="F152" s="304">
        <f>29.06*7.5*220</f>
        <v>47949</v>
      </c>
      <c r="G152" s="304">
        <f>29.55*7.5*220</f>
        <v>48757.5</v>
      </c>
      <c r="H152" s="304">
        <f>30.04*7.5*220</f>
        <v>49565.999999999993</v>
      </c>
      <c r="I152" s="304">
        <f>30.55*7.5*220</f>
        <v>50407.5</v>
      </c>
      <c r="J152" s="304">
        <f>31.06*7.5*220</f>
        <v>51249</v>
      </c>
      <c r="K152" s="304">
        <f>31.59*7.5*220</f>
        <v>52123.5</v>
      </c>
      <c r="L152" s="304">
        <f>32.12*7.5*220</f>
        <v>52997.999999999993</v>
      </c>
      <c r="M152" s="304">
        <f>32.66*7.5*220</f>
        <v>53889</v>
      </c>
      <c r="N152" s="304">
        <f>33.21*7.5*220</f>
        <v>54796.500000000007</v>
      </c>
      <c r="O152" s="304">
        <f>33.77*7.5*220</f>
        <v>55720.500000000007</v>
      </c>
      <c r="P152" s="304">
        <f>34.34*7.5*220</f>
        <v>56661</v>
      </c>
      <c r="Q152" s="304">
        <f>34.92*7.5*220</f>
        <v>57618.000000000007</v>
      </c>
      <c r="R152" s="271">
        <f>35.5*7.5*220</f>
        <v>58575</v>
      </c>
    </row>
    <row r="153" spans="1:18" ht="15" customHeight="1" x14ac:dyDescent="0.25">
      <c r="A153" s="335" t="s">
        <v>358</v>
      </c>
      <c r="B153" s="345" t="s">
        <v>310</v>
      </c>
      <c r="C153" s="311">
        <f>27.64*7.5*250</f>
        <v>51825</v>
      </c>
      <c r="D153" s="311">
        <f>28.1*7.5*250</f>
        <v>52687.5</v>
      </c>
      <c r="E153" s="311">
        <f>28.58*7.5*250</f>
        <v>53587.5</v>
      </c>
      <c r="F153" s="311">
        <f>29.06*7.5*250</f>
        <v>54487.5</v>
      </c>
      <c r="G153" s="311">
        <f>29.55*7.5*250</f>
        <v>55406.25</v>
      </c>
      <c r="H153" s="311">
        <f>30.04*7.5*250</f>
        <v>56324.999999999993</v>
      </c>
      <c r="I153" s="311">
        <f>30.55*7.5*250</f>
        <v>57281.25</v>
      </c>
      <c r="J153" s="311">
        <f>31.06*7.5*250</f>
        <v>58237.5</v>
      </c>
      <c r="K153" s="311">
        <f>31.59*7.5*250</f>
        <v>59231.25</v>
      </c>
      <c r="L153" s="311">
        <f>32.12*7.5*250</f>
        <v>60224.999999999993</v>
      </c>
      <c r="M153" s="311">
        <f>32.66*7.5*250</f>
        <v>61237.5</v>
      </c>
      <c r="N153" s="311">
        <f>33.21*7.5*250</f>
        <v>62268.750000000007</v>
      </c>
      <c r="O153" s="311">
        <f>33.77*250*7.5</f>
        <v>63318.75</v>
      </c>
      <c r="P153" s="311">
        <f>34.34*7.5*250</f>
        <v>64387.5</v>
      </c>
      <c r="Q153" s="311">
        <f>34.92*7.5*250</f>
        <v>65475.000000000007</v>
      </c>
      <c r="R153" s="293">
        <f>35.5*7.5*250</f>
        <v>66562.5</v>
      </c>
    </row>
    <row r="154" spans="1:18" ht="15" customHeight="1" x14ac:dyDescent="0.25">
      <c r="A154" s="338" t="s">
        <v>141</v>
      </c>
      <c r="B154" s="346"/>
      <c r="C154" s="312"/>
      <c r="D154" s="312"/>
      <c r="E154" s="312"/>
      <c r="F154" s="312"/>
      <c r="G154" s="312"/>
      <c r="H154" s="312"/>
      <c r="I154" s="312"/>
      <c r="J154" s="312"/>
      <c r="K154" s="312"/>
      <c r="L154" s="312"/>
      <c r="M154" s="312"/>
      <c r="N154" s="312"/>
      <c r="O154" s="312"/>
      <c r="P154" s="312"/>
      <c r="Q154" s="312"/>
      <c r="R154" s="295"/>
    </row>
    <row r="155" spans="1:18" ht="15" customHeight="1" x14ac:dyDescent="0.25">
      <c r="A155" s="337" t="s">
        <v>396</v>
      </c>
      <c r="B155" s="345" t="s">
        <v>310</v>
      </c>
      <c r="C155" s="311">
        <v>55278.042873496815</v>
      </c>
      <c r="D155" s="311">
        <v>56208.516499145924</v>
      </c>
      <c r="E155" s="311">
        <v>57154.652422572282</v>
      </c>
      <c r="F155" s="311">
        <v>58116.714281094464</v>
      </c>
      <c r="G155" s="311">
        <v>59094.970149734669</v>
      </c>
      <c r="H155" s="311">
        <v>60089.692615916851</v>
      </c>
      <c r="I155" s="311">
        <v>61101.158855422225</v>
      </c>
      <c r="J155" s="311">
        <v>62129.650709623253</v>
      </c>
      <c r="K155" s="311">
        <v>63175.454764017748</v>
      </c>
      <c r="L155" s="311">
        <v>64238.86242808486</v>
      </c>
      <c r="M155" s="311">
        <v>65320.170016485252</v>
      </c>
      <c r="N155" s="311">
        <v>66419.678831628116</v>
      </c>
      <c r="O155" s="311">
        <v>67537.695247627998</v>
      </c>
      <c r="P155" s="311">
        <v>68674.530795674771</v>
      </c>
      <c r="Q155" s="311">
        <v>69830.502250840742</v>
      </c>
      <c r="R155" s="293">
        <v>71005.931720348803</v>
      </c>
    </row>
    <row r="156" spans="1:18" ht="15" customHeight="1" x14ac:dyDescent="0.25">
      <c r="A156" s="151" t="s">
        <v>135</v>
      </c>
      <c r="B156" s="257" t="s">
        <v>311</v>
      </c>
      <c r="C156" s="308">
        <v>54093.840889959887</v>
      </c>
      <c r="D156" s="286">
        <v>54947.991031606631</v>
      </c>
      <c r="E156" s="286">
        <v>55815.628336532456</v>
      </c>
      <c r="F156" s="286">
        <v>56696.965769138391</v>
      </c>
      <c r="G156" s="286">
        <v>57592.219656566427</v>
      </c>
      <c r="H156" s="286">
        <v>58501.609741797685</v>
      </c>
      <c r="I156" s="286">
        <v>59425.359237589058</v>
      </c>
      <c r="J156" s="286">
        <v>60363.694881261508</v>
      </c>
      <c r="K156" s="286">
        <v>61316.846990353479</v>
      </c>
      <c r="L156" s="286">
        <v>62285.049519153086</v>
      </c>
      <c r="M156" s="286">
        <v>63268.540116122938</v>
      </c>
      <c r="N156" s="286">
        <v>64267.560182231784</v>
      </c>
      <c r="O156" s="286">
        <v>65282.354930207097</v>
      </c>
      <c r="P156" s="286">
        <v>66313.173444723405</v>
      </c>
      <c r="Q156" s="286">
        <v>67360.268743540844</v>
      </c>
      <c r="R156" s="287">
        <v>68423.897839609301</v>
      </c>
    </row>
    <row r="157" spans="1:18" ht="15" customHeight="1" x14ac:dyDescent="0.25">
      <c r="A157" s="152" t="s">
        <v>143</v>
      </c>
      <c r="B157" s="194"/>
      <c r="C157" s="310"/>
      <c r="D157" s="290"/>
      <c r="E157" s="290"/>
      <c r="F157" s="290"/>
      <c r="G157" s="290"/>
      <c r="H157" s="290"/>
      <c r="I157" s="290"/>
      <c r="J157" s="290"/>
      <c r="K157" s="290"/>
      <c r="L157" s="290"/>
      <c r="M157" s="290"/>
      <c r="N157" s="290"/>
      <c r="O157" s="290"/>
      <c r="P157" s="290"/>
      <c r="Q157" s="290"/>
      <c r="R157" s="291"/>
    </row>
    <row r="158" spans="1:18" ht="15" customHeight="1" x14ac:dyDescent="0.25">
      <c r="A158" s="335" t="s">
        <v>374</v>
      </c>
      <c r="B158" s="345" t="s">
        <v>312</v>
      </c>
      <c r="C158" s="311">
        <v>57339.471343357291</v>
      </c>
      <c r="D158" s="292">
        <v>58244.870493502822</v>
      </c>
      <c r="E158" s="292">
        <v>59164.56603672418</v>
      </c>
      <c r="F158" s="292">
        <v>60098.783715286452</v>
      </c>
      <c r="G158" s="292">
        <v>61047.752835960157</v>
      </c>
      <c r="H158" s="292">
        <v>62011.70632630527</v>
      </c>
      <c r="I158" s="292">
        <v>62990.880791844109</v>
      </c>
      <c r="J158" s="292">
        <v>63985.516574136869</v>
      </c>
      <c r="K158" s="292">
        <v>64995.85780977433</v>
      </c>
      <c r="L158" s="292">
        <v>66022.152490301902</v>
      </c>
      <c r="M158" s="292">
        <v>67064.652523089928</v>
      </c>
      <c r="N158" s="292">
        <v>68123.613793165277</v>
      </c>
      <c r="O158" s="292">
        <v>69199.296226019113</v>
      </c>
      <c r="P158" s="292">
        <v>70291.96385140637</v>
      </c>
      <c r="Q158" s="292">
        <v>71401.884868152832</v>
      </c>
      <c r="R158" s="293">
        <v>72529.331709985359</v>
      </c>
    </row>
    <row r="159" spans="1:18" ht="15" customHeight="1" x14ac:dyDescent="0.25">
      <c r="A159" s="338" t="s">
        <v>151</v>
      </c>
      <c r="B159" s="346"/>
      <c r="C159" s="312"/>
      <c r="D159" s="294"/>
      <c r="E159" s="294"/>
      <c r="F159" s="294"/>
      <c r="G159" s="294"/>
      <c r="H159" s="294"/>
      <c r="I159" s="294"/>
      <c r="J159" s="294"/>
      <c r="K159" s="294"/>
      <c r="L159" s="294"/>
      <c r="M159" s="294"/>
      <c r="N159" s="294"/>
      <c r="O159" s="294"/>
      <c r="P159" s="294"/>
      <c r="Q159" s="294"/>
      <c r="R159" s="295"/>
    </row>
    <row r="160" spans="1:18" ht="15" customHeight="1" x14ac:dyDescent="0.25">
      <c r="A160" s="334" t="s">
        <v>162</v>
      </c>
      <c r="B160" s="341"/>
      <c r="C160" s="313"/>
      <c r="D160" s="296"/>
      <c r="E160" s="296"/>
      <c r="F160" s="296"/>
      <c r="G160" s="296"/>
      <c r="H160" s="296"/>
      <c r="I160" s="296"/>
      <c r="J160" s="296"/>
      <c r="K160" s="296"/>
      <c r="L160" s="296"/>
      <c r="M160" s="296"/>
      <c r="N160" s="296"/>
      <c r="O160" s="296"/>
      <c r="P160" s="296"/>
      <c r="Q160" s="296"/>
      <c r="R160" s="297"/>
    </row>
    <row r="161" spans="1:18" ht="15" customHeight="1" x14ac:dyDescent="0.25">
      <c r="A161" s="148" t="s">
        <v>352</v>
      </c>
      <c r="B161" s="202" t="s">
        <v>313</v>
      </c>
      <c r="C161" s="305">
        <v>47858.093578022672</v>
      </c>
      <c r="D161" s="272">
        <v>48562.360040731037</v>
      </c>
      <c r="E161" s="272">
        <v>49276.99029383334</v>
      </c>
      <c r="F161" s="272">
        <v>50002.136848001333</v>
      </c>
      <c r="G161" s="272">
        <v>50737.954458211636</v>
      </c>
      <c r="H161" s="272">
        <v>51484.600156772271</v>
      </c>
      <c r="I161" s="272">
        <v>52242.233286835261</v>
      </c>
      <c r="J161" s="272">
        <v>53011.015536402359</v>
      </c>
      <c r="K161" s="272">
        <v>53791.110972831215</v>
      </c>
      <c r="L161" s="272">
        <v>54582.686077849314</v>
      </c>
      <c r="M161" s="272">
        <v>55385.909783083174</v>
      </c>
      <c r="N161" s="272">
        <v>56200.953506110389</v>
      </c>
      <c r="O161" s="272">
        <v>57027.991187042215</v>
      </c>
      <c r="P161" s="272">
        <v>57867.199325644411</v>
      </c>
      <c r="Q161" s="272">
        <v>58718.757019004486</v>
      </c>
      <c r="R161" s="325">
        <v>59582.845999753124</v>
      </c>
    </row>
    <row r="162" spans="1:18" ht="15" customHeight="1" x14ac:dyDescent="0.25">
      <c r="A162" s="321" t="s">
        <v>351</v>
      </c>
      <c r="B162" s="198" t="s">
        <v>314</v>
      </c>
      <c r="C162" s="315">
        <v>63411.973990880047</v>
      </c>
      <c r="D162" s="303">
        <v>64345.127053968637</v>
      </c>
      <c r="E162" s="303">
        <v>65292.012139329177</v>
      </c>
      <c r="F162" s="303">
        <v>66252.831323601786</v>
      </c>
      <c r="G162" s="303">
        <v>67227.78965713043</v>
      </c>
      <c r="H162" s="303">
        <v>68217.095207723265</v>
      </c>
      <c r="I162" s="303">
        <v>69220.959105056725</v>
      </c>
      <c r="J162" s="303">
        <v>70239.595585733128</v>
      </c>
      <c r="K162" s="303">
        <v>71273.222039001368</v>
      </c>
      <c r="L162" s="303">
        <v>72322.05905315034</v>
      </c>
      <c r="M162" s="303">
        <v>73386.330462585203</v>
      </c>
      <c r="N162" s="303">
        <v>74466.263395596281</v>
      </c>
      <c r="O162" s="303">
        <v>75562.088322830925</v>
      </c>
      <c r="P162" s="303">
        <v>76674.039106478856</v>
      </c>
      <c r="Q162" s="303">
        <v>77802.353050180944</v>
      </c>
      <c r="R162" s="328">
        <v>78947.270949672893</v>
      </c>
    </row>
    <row r="163" spans="1:18" ht="15" customHeight="1" x14ac:dyDescent="0.25">
      <c r="A163" s="152" t="s">
        <v>406</v>
      </c>
      <c r="B163" s="257" t="s">
        <v>315</v>
      </c>
      <c r="C163" s="308">
        <v>67216.692430332827</v>
      </c>
      <c r="D163" s="286">
        <v>68205.834677206716</v>
      </c>
      <c r="E163" s="286">
        <v>69209.532867688889</v>
      </c>
      <c r="F163" s="286">
        <v>70228.001203017848</v>
      </c>
      <c r="G163" s="286">
        <v>71261.457036558219</v>
      </c>
      <c r="H163" s="286">
        <v>72310.12092018663</v>
      </c>
      <c r="I163" s="286">
        <v>73374.216651360097</v>
      </c>
      <c r="J163" s="286">
        <v>74453.971320877099</v>
      </c>
      <c r="K163" s="286">
        <v>75549.615361341406</v>
      </c>
      <c r="L163" s="286">
        <v>76661.382596339317</v>
      </c>
      <c r="M163" s="286">
        <v>77789.510290340288</v>
      </c>
      <c r="N163" s="286">
        <v>78934.23919933202</v>
      </c>
      <c r="O163" s="286">
        <v>80095.81362220076</v>
      </c>
      <c r="P163" s="286">
        <v>81274.481452867534</v>
      </c>
      <c r="Q163" s="286">
        <v>82470.494233191755</v>
      </c>
      <c r="R163" s="287">
        <v>83684.107206653222</v>
      </c>
    </row>
    <row r="164" spans="1:18" ht="15" customHeight="1" x14ac:dyDescent="0.25">
      <c r="A164" s="152" t="s">
        <v>350</v>
      </c>
      <c r="B164" s="194"/>
      <c r="C164" s="310"/>
      <c r="D164" s="290"/>
      <c r="E164" s="290"/>
      <c r="F164" s="290"/>
      <c r="G164" s="290"/>
      <c r="H164" s="290"/>
      <c r="I164" s="290"/>
      <c r="J164" s="290"/>
      <c r="K164" s="290"/>
      <c r="L164" s="290"/>
      <c r="M164" s="290"/>
      <c r="N164" s="290"/>
      <c r="O164" s="290"/>
      <c r="P164" s="290"/>
      <c r="Q164" s="290"/>
      <c r="R164" s="291"/>
    </row>
    <row r="165" spans="1:18" ht="15" customHeight="1" thickBot="1" x14ac:dyDescent="0.3">
      <c r="A165" s="332" t="s">
        <v>372</v>
      </c>
      <c r="B165" s="348" t="s">
        <v>334</v>
      </c>
      <c r="C165" s="329">
        <v>60292.920843368083</v>
      </c>
      <c r="D165" s="330">
        <v>60972.957067516909</v>
      </c>
      <c r="E165" s="330">
        <v>61660.663334179611</v>
      </c>
      <c r="F165" s="330">
        <v>62356.126152795063</v>
      </c>
      <c r="G165" s="330">
        <v>63059.433008531167</v>
      </c>
      <c r="H165" s="330">
        <v>63770.672373289934</v>
      </c>
      <c r="I165" s="330">
        <v>64489.933716836771</v>
      </c>
      <c r="J165" s="330">
        <v>65217.307518055262</v>
      </c>
      <c r="K165" s="330">
        <v>65952.885276328845</v>
      </c>
      <c r="L165" s="330">
        <v>66696.759523050918</v>
      </c>
      <c r="M165" s="330">
        <v>67449.02383326483</v>
      </c>
      <c r="N165" s="330">
        <v>68209.772837434924</v>
      </c>
      <c r="O165" s="330">
        <v>68979.102233350553</v>
      </c>
      <c r="P165" s="330">
        <v>69757.108798164438</v>
      </c>
      <c r="Q165" s="330">
        <v>70543.890400566437</v>
      </c>
      <c r="R165" s="331">
        <v>71339.546013095067</v>
      </c>
    </row>
    <row r="166" spans="1:18" s="230" customFormat="1" ht="14.25" customHeight="1" x14ac:dyDescent="0.25">
      <c r="A166" s="167"/>
      <c r="B166" s="268"/>
      <c r="C166" s="269"/>
      <c r="D166" s="269"/>
      <c r="E166" s="269"/>
      <c r="F166" s="269"/>
      <c r="G166" s="269"/>
      <c r="H166" s="269"/>
      <c r="I166" s="269"/>
      <c r="J166" s="269"/>
      <c r="K166" s="269"/>
      <c r="L166" s="269"/>
      <c r="M166" s="269"/>
      <c r="N166" s="269"/>
      <c r="O166" s="269"/>
      <c r="P166" s="269"/>
      <c r="Q166" s="269"/>
      <c r="R166" s="269"/>
    </row>
    <row r="167" spans="1:18" ht="14.25" customHeight="1" x14ac:dyDescent="0.25">
      <c r="A167" s="240" t="s">
        <v>356</v>
      </c>
    </row>
    <row r="168" spans="1:18" ht="14.25" customHeight="1" x14ac:dyDescent="0.25">
      <c r="A168" s="144" t="s">
        <v>410</v>
      </c>
    </row>
    <row r="169" spans="1:18" ht="14.25" customHeight="1" x14ac:dyDescent="0.25">
      <c r="A169" s="166" t="s">
        <v>407</v>
      </c>
    </row>
    <row r="170" spans="1:18" x14ac:dyDescent="0.25">
      <c r="A170" s="144" t="s">
        <v>408</v>
      </c>
    </row>
    <row r="171" spans="1:18" x14ac:dyDescent="0.25">
      <c r="A171" s="144" t="s">
        <v>409</v>
      </c>
    </row>
  </sheetData>
  <mergeCells count="4">
    <mergeCell ref="B1:M1"/>
    <mergeCell ref="B40:M40"/>
    <mergeCell ref="B68:M68"/>
    <mergeCell ref="B117:M117"/>
  </mergeCells>
  <pageMargins left="0.7" right="0.7" top="0.75" bottom="0.75" header="0.3" footer="0.3"/>
  <pageSetup paperSize="5" scale="62" fitToHeight="2" orientation="landscape" horizontalDpi="4294967295" verticalDpi="4294967295" r:id="rId1"/>
  <headerFooter>
    <oddFooter>&amp;C&amp;"-,Bold"&amp;14&amp;D&amp;R&amp;14Page &amp;P</oddFooter>
  </headerFooter>
  <rowBreaks count="1" manualBreakCount="1">
    <brk id="116" max="17"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Admin Analysis</vt:lpstr>
      <vt:lpstr>Current Pay Plan (Hourly)</vt:lpstr>
      <vt:lpstr>Step Plans Reference</vt:lpstr>
      <vt:lpstr>Certified Analysis</vt:lpstr>
      <vt:lpstr>Classified Analysis</vt:lpstr>
      <vt:lpstr>Notes</vt:lpstr>
      <vt:lpstr>Market Results</vt:lpstr>
      <vt:lpstr>Proposed Salary Scales</vt:lpstr>
      <vt:lpstr>'Proposed Salary Scales'!Print_Area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Turner</dc:creator>
  <cp:lastModifiedBy>Tracy Shaver</cp:lastModifiedBy>
  <cp:lastPrinted>2022-05-26T21:16:49Z</cp:lastPrinted>
  <dcterms:created xsi:type="dcterms:W3CDTF">2021-10-29T17:24:49Z</dcterms:created>
  <dcterms:modified xsi:type="dcterms:W3CDTF">2022-06-01T16:42:41Z</dcterms:modified>
</cp:coreProperties>
</file>